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2795" windowHeight="9975" activeTab="1"/>
  </bookViews>
  <sheets>
    <sheet name="Verif Poutre" sheetId="1" r:id="rId1"/>
    <sheet name="Détail calculs" sheetId="2" r:id="rId2"/>
  </sheets>
  <definedNames>
    <definedName name="_xlnm.Print_Area" localSheetId="1">'Détail calculs'!$A$2:$H$66</definedName>
    <definedName name="_xlnm.Print_Area" localSheetId="0">'Verif Poutre'!$B$1:$I$55</definedName>
  </definedNames>
  <calcPr calcId="124519"/>
</workbook>
</file>

<file path=xl/calcChain.xml><?xml version="1.0" encoding="utf-8"?>
<calcChain xmlns="http://schemas.openxmlformats.org/spreadsheetml/2006/main">
  <c r="B6" i="2"/>
  <c r="D147" s="1"/>
  <c r="G6"/>
  <c r="C120" s="1"/>
  <c r="G8"/>
  <c r="C119" s="1"/>
  <c r="D204"/>
  <c r="B7"/>
  <c r="G204"/>
  <c r="B10"/>
  <c r="C15"/>
  <c r="E15" s="1"/>
  <c r="B16"/>
  <c r="B8"/>
  <c r="C16" s="1"/>
  <c r="B19"/>
  <c r="C19" s="1"/>
  <c r="B20"/>
  <c r="D17"/>
  <c r="D36" i="1" s="1"/>
  <c r="B17" i="2"/>
  <c r="C17"/>
  <c r="G17" s="1"/>
  <c r="B18"/>
  <c r="C18" s="1"/>
  <c r="G18" s="1"/>
  <c r="D19"/>
  <c r="D37" i="1" s="1"/>
  <c r="D20" i="2"/>
  <c r="C20"/>
  <c r="E20" s="1"/>
  <c r="E38" i="1" s="1"/>
  <c r="B9" i="2"/>
  <c r="D38" i="1"/>
  <c r="D35"/>
  <c r="D34"/>
  <c r="D205" i="2"/>
  <c r="D207" s="1"/>
  <c r="D208"/>
  <c r="G208"/>
  <c r="F61" s="1"/>
  <c r="G209"/>
  <c r="G210"/>
  <c r="G7"/>
  <c r="E120" s="1"/>
  <c r="B15"/>
  <c r="C34" i="1" s="1"/>
  <c r="G15" i="2"/>
  <c r="F19"/>
  <c r="G19" s="1"/>
  <c r="F20"/>
  <c r="G20" s="1"/>
  <c r="B70"/>
  <c r="B77" s="1"/>
  <c r="B71"/>
  <c r="B75" s="1"/>
  <c r="B76"/>
  <c r="B78"/>
  <c r="R109"/>
  <c r="R112" s="1"/>
  <c r="S109"/>
  <c r="T109"/>
  <c r="T112" s="1"/>
  <c r="U109"/>
  <c r="V109"/>
  <c r="V112" s="1"/>
  <c r="W109"/>
  <c r="X109"/>
  <c r="X112" s="1"/>
  <c r="Y109"/>
  <c r="Z109"/>
  <c r="Z112" s="1"/>
  <c r="R110"/>
  <c r="S110"/>
  <c r="T110"/>
  <c r="U110"/>
  <c r="V110"/>
  <c r="W110"/>
  <c r="X110"/>
  <c r="Y110"/>
  <c r="Z110"/>
  <c r="AC110"/>
  <c r="AD110"/>
  <c r="AE110"/>
  <c r="AF110"/>
  <c r="AG110"/>
  <c r="AH110"/>
  <c r="AI110"/>
  <c r="AJ110"/>
  <c r="AK110"/>
  <c r="R111"/>
  <c r="S111"/>
  <c r="T111"/>
  <c r="U111"/>
  <c r="V111"/>
  <c r="W111"/>
  <c r="X111"/>
  <c r="Y111"/>
  <c r="Z111"/>
  <c r="AC111"/>
  <c r="AD111"/>
  <c r="AE111"/>
  <c r="AF111"/>
  <c r="AG111"/>
  <c r="AH111"/>
  <c r="AI111"/>
  <c r="AJ111"/>
  <c r="AK111"/>
  <c r="S112"/>
  <c r="U112"/>
  <c r="W112"/>
  <c r="Y112"/>
  <c r="AC112"/>
  <c r="AD112"/>
  <c r="AE112"/>
  <c r="AF112"/>
  <c r="AG112"/>
  <c r="AH112"/>
  <c r="AI112"/>
  <c r="AJ112"/>
  <c r="AK112"/>
  <c r="R113"/>
  <c r="S113"/>
  <c r="T113"/>
  <c r="U113"/>
  <c r="V113"/>
  <c r="W113"/>
  <c r="X113"/>
  <c r="Y113"/>
  <c r="Z113"/>
  <c r="AC113"/>
  <c r="AD113"/>
  <c r="AE113"/>
  <c r="AF113"/>
  <c r="AG113"/>
  <c r="AH113"/>
  <c r="AI113"/>
  <c r="AJ113"/>
  <c r="AK113"/>
  <c r="R114"/>
  <c r="S114"/>
  <c r="T114"/>
  <c r="U114"/>
  <c r="V114"/>
  <c r="W114"/>
  <c r="X114"/>
  <c r="Y114"/>
  <c r="Z114"/>
  <c r="AC114"/>
  <c r="AD114"/>
  <c r="AE114"/>
  <c r="AF114"/>
  <c r="AG114"/>
  <c r="AH114"/>
  <c r="AI114"/>
  <c r="AJ114"/>
  <c r="AK114"/>
  <c r="C122"/>
  <c r="M108" s="1"/>
  <c r="D139"/>
  <c r="D140"/>
  <c r="D141"/>
  <c r="D142"/>
  <c r="AE146"/>
  <c r="AF146" s="1"/>
  <c r="AG146" s="1"/>
  <c r="D148"/>
  <c r="D149"/>
  <c r="D160"/>
  <c r="O162"/>
  <c r="N162" s="1"/>
  <c r="L166"/>
  <c r="O166"/>
  <c r="D166" s="1"/>
  <c r="D196"/>
  <c r="I208"/>
  <c r="E124" l="1"/>
  <c r="E125"/>
  <c r="L120"/>
  <c r="E123"/>
  <c r="E126"/>
  <c r="E128"/>
  <c r="E127"/>
  <c r="E16"/>
  <c r="E35" i="1" s="1"/>
  <c r="C24" i="2"/>
  <c r="C27" s="1"/>
  <c r="C30" s="1"/>
  <c r="G16"/>
  <c r="G205"/>
  <c r="G207" s="1"/>
  <c r="G211" s="1"/>
  <c r="G214" s="1"/>
  <c r="D18"/>
  <c r="E18" s="1"/>
  <c r="E17"/>
  <c r="E36" i="1" s="1"/>
  <c r="D209" i="2"/>
  <c r="N164"/>
  <c r="N165"/>
  <c r="N163"/>
  <c r="B80"/>
  <c r="B86"/>
  <c r="B82"/>
  <c r="B83" s="1"/>
  <c r="B84" s="1"/>
  <c r="D151"/>
  <c r="D153"/>
  <c r="O145"/>
  <c r="D152"/>
  <c r="D155" s="1"/>
  <c r="D157" s="1"/>
  <c r="E157" s="1"/>
  <c r="D156"/>
  <c r="G26"/>
  <c r="G29" s="1"/>
  <c r="G32" s="1"/>
  <c r="C25"/>
  <c r="C28" s="1"/>
  <c r="C31" s="1"/>
  <c r="E19"/>
  <c r="E37" i="1" s="1"/>
  <c r="C26" i="2"/>
  <c r="C29" s="1"/>
  <c r="C32" s="1"/>
  <c r="E26"/>
  <c r="E34" i="1"/>
  <c r="C55" i="2"/>
  <c r="F55" s="1"/>
  <c r="C59"/>
  <c r="D210"/>
  <c r="D211" s="1"/>
  <c r="C56"/>
  <c r="C58"/>
  <c r="F58" s="1"/>
  <c r="C57"/>
  <c r="M110"/>
  <c r="M111" s="1"/>
  <c r="M109"/>
  <c r="N110"/>
  <c r="N111" s="1"/>
  <c r="M162"/>
  <c r="N108"/>
  <c r="O111" s="1"/>
  <c r="A98"/>
  <c r="O108"/>
  <c r="H111" l="1"/>
  <c r="C125" s="1"/>
  <c r="B111"/>
  <c r="E111"/>
  <c r="G111"/>
  <c r="J111"/>
  <c r="C111"/>
  <c r="F111"/>
  <c r="I111"/>
  <c r="G63"/>
  <c r="D214"/>
  <c r="D58" s="1"/>
  <c r="M112"/>
  <c r="M114"/>
  <c r="M113"/>
  <c r="F56"/>
  <c r="F57"/>
  <c r="E156"/>
  <c r="E158"/>
  <c r="R148"/>
  <c r="T148"/>
  <c r="V148"/>
  <c r="X148"/>
  <c r="Z148"/>
  <c r="AB148"/>
  <c r="AD148"/>
  <c r="AF148"/>
  <c r="S147"/>
  <c r="U147"/>
  <c r="W147"/>
  <c r="Y147"/>
  <c r="AA147"/>
  <c r="AC147"/>
  <c r="AE147"/>
  <c r="AG147"/>
  <c r="S148"/>
  <c r="U148"/>
  <c r="W148"/>
  <c r="Y148"/>
  <c r="AA148"/>
  <c r="AC148"/>
  <c r="AE148"/>
  <c r="AG148"/>
  <c r="R147"/>
  <c r="T147"/>
  <c r="V147"/>
  <c r="X147"/>
  <c r="Z147"/>
  <c r="AB147"/>
  <c r="AD147"/>
  <c r="AF147"/>
  <c r="N109"/>
  <c r="E39" i="1"/>
  <c r="O109" i="2"/>
  <c r="O112"/>
  <c r="O110"/>
  <c r="D154"/>
  <c r="B87"/>
  <c r="M163"/>
  <c r="O163"/>
  <c r="M165"/>
  <c r="O165"/>
  <c r="M164"/>
  <c r="O164"/>
  <c r="E29"/>
  <c r="B50"/>
  <c r="O113"/>
  <c r="O114"/>
  <c r="H112" l="1"/>
  <c r="C126" s="1"/>
  <c r="B112"/>
  <c r="E112"/>
  <c r="G112"/>
  <c r="J112"/>
  <c r="C112"/>
  <c r="F112"/>
  <c r="I112"/>
  <c r="C33"/>
  <c r="E33"/>
  <c r="L126"/>
  <c r="O126" s="1"/>
  <c r="L127"/>
  <c r="O127" s="1"/>
  <c r="F125"/>
  <c r="G33" s="1"/>
  <c r="L125"/>
  <c r="B113"/>
  <c r="E113"/>
  <c r="G113"/>
  <c r="I113"/>
  <c r="C113"/>
  <c r="F113"/>
  <c r="H113"/>
  <c r="C127" s="1"/>
  <c r="F127" s="1"/>
  <c r="J113"/>
  <c r="C52" i="1"/>
  <c r="E32" i="2"/>
  <c r="B48"/>
  <c r="H114"/>
  <c r="C128" s="1"/>
  <c r="C114"/>
  <c r="F114"/>
  <c r="I114"/>
  <c r="B114"/>
  <c r="E114"/>
  <c r="G114"/>
  <c r="J114"/>
  <c r="E49"/>
  <c r="F59"/>
  <c r="C50" i="1"/>
  <c r="C49" s="1"/>
  <c r="B110" i="2"/>
  <c r="E110"/>
  <c r="G110"/>
  <c r="J110"/>
  <c r="H110"/>
  <c r="C124" s="1"/>
  <c r="C110"/>
  <c r="F110"/>
  <c r="I110"/>
  <c r="H109"/>
  <c r="C123" s="1"/>
  <c r="C109"/>
  <c r="F109"/>
  <c r="I109"/>
  <c r="B109"/>
  <c r="E109"/>
  <c r="G109"/>
  <c r="J109"/>
  <c r="N113"/>
  <c r="N114"/>
  <c r="N112"/>
  <c r="N145"/>
  <c r="N146" s="1"/>
  <c r="M145"/>
  <c r="E58"/>
  <c r="G58" s="1"/>
  <c r="M146" l="1"/>
  <c r="O146" s="1"/>
  <c r="D150" s="1"/>
  <c r="D60" s="1"/>
  <c r="E56"/>
  <c r="G56" s="1"/>
  <c r="D213"/>
  <c r="G213" s="1"/>
  <c r="F123"/>
  <c r="L123"/>
  <c r="E55"/>
  <c r="G55" s="1"/>
  <c r="F124"/>
  <c r="L124"/>
  <c r="O124" s="1"/>
  <c r="C51" i="1"/>
  <c r="F60" i="2"/>
  <c r="B89"/>
  <c r="I209"/>
  <c r="B90"/>
  <c r="C38"/>
  <c r="C35"/>
  <c r="E59"/>
  <c r="G59" s="1"/>
  <c r="F126"/>
  <c r="E50"/>
  <c r="H50" i="1" s="1"/>
  <c r="G50"/>
  <c r="E48" i="2"/>
  <c r="L128"/>
  <c r="O128" s="1"/>
  <c r="E57"/>
  <c r="G57" s="1"/>
  <c r="F128"/>
  <c r="O125"/>
  <c r="C40"/>
  <c r="E60" l="1"/>
  <c r="E89" s="1"/>
  <c r="D61"/>
  <c r="E61" s="1"/>
  <c r="G61" s="1"/>
  <c r="G51" i="1"/>
  <c r="E51"/>
  <c r="G89" i="2"/>
  <c r="G65"/>
  <c r="B91"/>
  <c r="C41"/>
  <c r="G60"/>
  <c r="G62" s="1"/>
  <c r="C53" i="1"/>
  <c r="O123" i="2"/>
  <c r="D212"/>
  <c r="G212" s="1"/>
  <c r="G43" l="1"/>
  <c r="G54" i="1" s="1"/>
  <c r="C43" i="2"/>
  <c r="E54" i="1" s="1"/>
  <c r="C54"/>
  <c r="C39" i="2"/>
  <c r="G91"/>
  <c r="D91"/>
  <c r="C65"/>
  <c r="E53" i="1" s="1"/>
  <c r="G53"/>
</calcChain>
</file>

<file path=xl/comments1.xml><?xml version="1.0" encoding="utf-8"?>
<comments xmlns="http://schemas.openxmlformats.org/spreadsheetml/2006/main">
  <authors>
    <author>M R</author>
  </authors>
  <commentList>
    <comment ref="D17" authorId="0">
      <text>
        <r>
          <rPr>
            <b/>
            <sz val="8"/>
            <color indexed="81"/>
            <rFont val="Tahoma"/>
          </rPr>
          <t xml:space="preserve">1.2 ou 1 si W ou N
</t>
        </r>
      </text>
    </comment>
    <comment ref="D18" authorId="0">
      <text>
        <r>
          <rPr>
            <b/>
            <sz val="8"/>
            <color indexed="81"/>
            <rFont val="Tahoma"/>
          </rPr>
          <t xml:space="preserve">1.2 ou 1 si W ou N
</t>
        </r>
      </text>
    </comment>
    <comment ref="D19" authorId="0">
      <text>
        <r>
          <rPr>
            <b/>
            <sz val="8"/>
            <color indexed="81"/>
            <rFont val="Tahoma"/>
          </rPr>
          <t xml:space="preserve">0 ou 1
</t>
        </r>
      </text>
    </comment>
    <comment ref="D20" authorId="0">
      <text>
        <r>
          <rPr>
            <b/>
            <sz val="8"/>
            <color indexed="81"/>
            <rFont val="Tahoma"/>
          </rPr>
          <t xml:space="preserve">0 ou 1
</t>
        </r>
      </text>
    </comment>
  </commentList>
</comments>
</file>

<file path=xl/sharedStrings.xml><?xml version="1.0" encoding="utf-8"?>
<sst xmlns="http://schemas.openxmlformats.org/spreadsheetml/2006/main" count="408" uniqueCount="266">
  <si>
    <t>Vérif poutre isostatique en bois selon CB71</t>
  </si>
  <si>
    <t>caractéristique géométrique:</t>
  </si>
  <si>
    <t>Bois :</t>
  </si>
  <si>
    <t>hauteur</t>
  </si>
  <si>
    <t>m</t>
  </si>
  <si>
    <t>essence</t>
  </si>
  <si>
    <t>RESINEUX</t>
  </si>
  <si>
    <t>largeur</t>
  </si>
  <si>
    <t>type</t>
  </si>
  <si>
    <t>MASSIF</t>
  </si>
  <si>
    <t>entraxe</t>
  </si>
  <si>
    <t>catégorie</t>
  </si>
  <si>
    <t>portée</t>
  </si>
  <si>
    <t>densité bois</t>
  </si>
  <si>
    <t>kN/m3</t>
  </si>
  <si>
    <t>Charges et combinaisons:</t>
  </si>
  <si>
    <t>premier genre</t>
  </si>
  <si>
    <t>second genre</t>
  </si>
  <si>
    <t>kN/m2</t>
  </si>
  <si>
    <t>kN/ml</t>
  </si>
  <si>
    <t>PP</t>
  </si>
  <si>
    <t>Gsup</t>
  </si>
  <si>
    <t>Q longue durée</t>
  </si>
  <si>
    <t>Q courte durée</t>
  </si>
  <si>
    <t>W (Vent normal   NV65)</t>
  </si>
  <si>
    <t>N  (Neige  normal NV65)</t>
  </si>
  <si>
    <t>Vérif de la flèche:</t>
  </si>
  <si>
    <t>Charge longue durée</t>
  </si>
  <si>
    <t xml:space="preserve"> [kN/ml]</t>
  </si>
  <si>
    <t>charge courte durée</t>
  </si>
  <si>
    <t>charge TOTAL</t>
  </si>
  <si>
    <t>Moment longue durée</t>
  </si>
  <si>
    <t xml:space="preserve"> [kN.m]</t>
  </si>
  <si>
    <t>Moment courte durée durée</t>
  </si>
  <si>
    <t>Moment TOTAL</t>
  </si>
  <si>
    <r>
      <t>s</t>
    </r>
    <r>
      <rPr>
        <i/>
        <sz val="10"/>
        <rFont val="Roman"/>
        <family val="1"/>
        <charset val="255"/>
      </rPr>
      <t>r long</t>
    </r>
  </si>
  <si>
    <t>[bars]</t>
  </si>
  <si>
    <r>
      <t>s</t>
    </r>
    <r>
      <rPr>
        <i/>
        <sz val="10"/>
        <rFont val="Roman"/>
        <family val="1"/>
        <charset val="255"/>
      </rPr>
      <t>r inst</t>
    </r>
  </si>
  <si>
    <r>
      <t>s</t>
    </r>
    <r>
      <rPr>
        <i/>
        <sz val="10"/>
        <rFont val="Roman"/>
        <family val="1"/>
        <charset val="255"/>
      </rPr>
      <t>r totale</t>
    </r>
  </si>
  <si>
    <r>
      <t xml:space="preserve">s </t>
    </r>
    <r>
      <rPr>
        <vertAlign val="superscript"/>
        <sz val="14"/>
        <rFont val="Symbol"/>
        <family val="1"/>
        <charset val="2"/>
      </rPr>
      <t xml:space="preserve">_ </t>
    </r>
    <r>
      <rPr>
        <i/>
        <sz val="10"/>
        <rFont val="Roman"/>
        <family val="1"/>
        <charset val="255"/>
      </rPr>
      <t>f</t>
    </r>
  </si>
  <si>
    <t>H</t>
  </si>
  <si>
    <r>
      <t>D</t>
    </r>
    <r>
      <rPr>
        <sz val="10"/>
        <rFont val="Arial"/>
      </rPr>
      <t xml:space="preserve"> H</t>
    </r>
  </si>
  <si>
    <r>
      <t xml:space="preserve">fluage </t>
    </r>
    <r>
      <rPr>
        <sz val="10"/>
        <rFont val="Symbol"/>
        <family val="1"/>
        <charset val="2"/>
      </rPr>
      <t>q</t>
    </r>
  </si>
  <si>
    <t>critère de flèche :</t>
  </si>
  <si>
    <t>fréquence propre</t>
  </si>
  <si>
    <t>Hz</t>
  </si>
  <si>
    <t>Module</t>
  </si>
  <si>
    <t>toiture</t>
  </si>
  <si>
    <t>1/300</t>
  </si>
  <si>
    <t>flèche</t>
  </si>
  <si>
    <t>[cm]</t>
  </si>
  <si>
    <t>plancher</t>
  </si>
  <si>
    <t>1/400</t>
  </si>
  <si>
    <t xml:space="preserve">Flèche  = </t>
  </si>
  <si>
    <t>Effort traction</t>
  </si>
  <si>
    <t>kN</t>
  </si>
  <si>
    <t>Effort compression</t>
  </si>
  <si>
    <t>Moment My</t>
  </si>
  <si>
    <t>kN.m</t>
  </si>
  <si>
    <t>Moment Mz</t>
  </si>
  <si>
    <t>Cisaillement</t>
  </si>
  <si>
    <t>Aire</t>
  </si>
  <si>
    <t>coef.</t>
  </si>
  <si>
    <t>adm.</t>
  </si>
  <si>
    <t>calcul</t>
  </si>
  <si>
    <t>Vérif</t>
  </si>
  <si>
    <t>nette</t>
  </si>
  <si>
    <t>brute</t>
  </si>
  <si>
    <t>q, c, k</t>
  </si>
  <si>
    <r>
      <t xml:space="preserve">s </t>
    </r>
    <r>
      <rPr>
        <vertAlign val="superscript"/>
        <sz val="14"/>
        <rFont val="Symbol"/>
        <family val="1"/>
        <charset val="2"/>
      </rPr>
      <t xml:space="preserve">_ </t>
    </r>
    <r>
      <rPr>
        <i/>
        <sz val="10"/>
        <rFont val="Roman"/>
        <family val="1"/>
        <charset val="255"/>
      </rPr>
      <t>x</t>
    </r>
  </si>
  <si>
    <t>s</t>
  </si>
  <si>
    <t>[cm2]</t>
  </si>
  <si>
    <t>traction</t>
  </si>
  <si>
    <t>compression</t>
  </si>
  <si>
    <t>flambement</t>
  </si>
  <si>
    <t>V</t>
  </si>
  <si>
    <t>My</t>
  </si>
  <si>
    <t>Mz</t>
  </si>
  <si>
    <t>My+Mz+N</t>
  </si>
  <si>
    <t>Déversement</t>
  </si>
  <si>
    <t>Max vérif:</t>
  </si>
  <si>
    <t>Vérif poitrail avec entailles</t>
  </si>
  <si>
    <t>cm</t>
  </si>
  <si>
    <t>hauteur entaille</t>
  </si>
  <si>
    <t>profondeur entaille</t>
  </si>
  <si>
    <t>b =</t>
  </si>
  <si>
    <t>b' =</t>
  </si>
  <si>
    <t>e =</t>
  </si>
  <si>
    <t>h =</t>
  </si>
  <si>
    <r>
      <t>Ω</t>
    </r>
    <r>
      <rPr>
        <sz val="8.5"/>
        <rFont val="Arial"/>
      </rPr>
      <t xml:space="preserve"> =</t>
    </r>
  </si>
  <si>
    <t>cm2</t>
  </si>
  <si>
    <t>mx' =</t>
  </si>
  <si>
    <t>v =</t>
  </si>
  <si>
    <t>v' =</t>
  </si>
  <si>
    <t>Ix' =</t>
  </si>
  <si>
    <t>cm4</t>
  </si>
  <si>
    <t>Ix =</t>
  </si>
  <si>
    <r>
      <t>σ</t>
    </r>
    <r>
      <rPr>
        <sz val="8.5"/>
        <rFont val="Arial"/>
      </rPr>
      <t xml:space="preserve"> =</t>
    </r>
  </si>
  <si>
    <t>bar</t>
  </si>
  <si>
    <t>flèche =</t>
  </si>
  <si>
    <t xml:space="preserve">humidité du bois </t>
  </si>
  <si>
    <t>%</t>
  </si>
  <si>
    <t>TABLEAU  3</t>
  </si>
  <si>
    <t>construction achevée</t>
  </si>
  <si>
    <t>(avec un coefficient de sécurité de 2.75)</t>
  </si>
  <si>
    <t>Mode de sollicitation</t>
  </si>
  <si>
    <t>Contrainte de base forfaitaire pour bois sans défaut (en bars)</t>
  </si>
  <si>
    <t>Contraintes admissibles forfaitaires (en bars)</t>
  </si>
  <si>
    <t>Catégorie I</t>
  </si>
  <si>
    <t>Catégorie II</t>
  </si>
  <si>
    <t>Catégorie III</t>
  </si>
  <si>
    <t>Colonne 1</t>
  </si>
  <si>
    <t>Colonne 2</t>
  </si>
  <si>
    <t>Colonne 3</t>
  </si>
  <si>
    <t>Colonne 4</t>
  </si>
  <si>
    <t>TABLEAU  4</t>
  </si>
  <si>
    <t>TABLEAU  5</t>
  </si>
  <si>
    <t>Résineux</t>
  </si>
  <si>
    <t>Chêne</t>
  </si>
  <si>
    <t>Humidité du bois en %</t>
  </si>
  <si>
    <t>Compression axiale</t>
  </si>
  <si>
    <r>
      <t xml:space="preserve">s </t>
    </r>
    <r>
      <rPr>
        <vertAlign val="superscript"/>
        <sz val="14"/>
        <rFont val="Symbol"/>
        <family val="1"/>
        <charset val="2"/>
      </rPr>
      <t xml:space="preserve">_ </t>
    </r>
    <r>
      <rPr>
        <sz val="14"/>
        <rFont val="Roman"/>
        <family val="1"/>
        <charset val="255"/>
      </rPr>
      <t>'</t>
    </r>
  </si>
  <si>
    <t>Traction oblique</t>
  </si>
  <si>
    <r>
      <t xml:space="preserve">s </t>
    </r>
    <r>
      <rPr>
        <vertAlign val="superscript"/>
        <sz val="14"/>
        <rFont val="Symbol"/>
        <family val="1"/>
        <charset val="2"/>
      </rPr>
      <t xml:space="preserve">_ </t>
    </r>
  </si>
  <si>
    <t>Flexion statique</t>
  </si>
  <si>
    <t>Cisaillement longitudinal</t>
  </si>
  <si>
    <r>
      <t xml:space="preserve">t </t>
    </r>
    <r>
      <rPr>
        <vertAlign val="superscript"/>
        <sz val="14"/>
        <rFont val="Symbol"/>
        <family val="1"/>
        <charset val="2"/>
      </rPr>
      <t xml:space="preserve">_ </t>
    </r>
  </si>
  <si>
    <t>Traction transversale sans cisaillement</t>
  </si>
  <si>
    <r>
      <t xml:space="preserve">s </t>
    </r>
    <r>
      <rPr>
        <vertAlign val="superscript"/>
        <sz val="14"/>
        <rFont val="Symbol"/>
        <family val="1"/>
        <charset val="2"/>
      </rPr>
      <t xml:space="preserve">_ </t>
    </r>
    <r>
      <rPr>
        <i/>
        <sz val="10"/>
        <rFont val="Roman"/>
        <family val="1"/>
        <charset val="255"/>
      </rPr>
      <t>t</t>
    </r>
  </si>
  <si>
    <t>Compression transversale</t>
  </si>
  <si>
    <r>
      <t xml:space="preserve">s </t>
    </r>
    <r>
      <rPr>
        <vertAlign val="superscript"/>
        <sz val="14"/>
        <rFont val="Symbol"/>
        <family val="1"/>
        <charset val="2"/>
      </rPr>
      <t>_</t>
    </r>
    <r>
      <rPr>
        <i/>
        <sz val="12"/>
        <rFont val="Roman"/>
        <family val="1"/>
        <charset val="255"/>
      </rPr>
      <t>'</t>
    </r>
    <r>
      <rPr>
        <i/>
        <sz val="10"/>
        <rFont val="Roman"/>
        <family val="1"/>
        <charset val="255"/>
      </rPr>
      <t>t</t>
    </r>
  </si>
  <si>
    <t>Limite d'élasticité des bois (en bars)</t>
  </si>
  <si>
    <t>Module conventionel des bois massif (en bars)</t>
  </si>
  <si>
    <t>Catégorie</t>
  </si>
  <si>
    <t>Humidité en %</t>
  </si>
  <si>
    <t>Ec</t>
  </si>
  <si>
    <r>
      <t>E</t>
    </r>
    <r>
      <rPr>
        <b/>
        <vertAlign val="subscript"/>
        <sz val="10"/>
        <rFont val="Arial"/>
        <family val="2"/>
      </rPr>
      <t>T</t>
    </r>
  </si>
  <si>
    <t>flexion et cisaillement</t>
  </si>
  <si>
    <r>
      <t>E'</t>
    </r>
    <r>
      <rPr>
        <b/>
        <vertAlign val="subscript"/>
        <sz val="10"/>
        <rFont val="Arial"/>
        <family val="2"/>
      </rPr>
      <t>F</t>
    </r>
  </si>
  <si>
    <t>cisaillement seul</t>
  </si>
  <si>
    <r>
      <t>E</t>
    </r>
    <r>
      <rPr>
        <b/>
        <vertAlign val="subscript"/>
        <sz val="10"/>
        <rFont val="Arial"/>
        <family val="2"/>
      </rPr>
      <t>G</t>
    </r>
  </si>
  <si>
    <t>torsion</t>
  </si>
  <si>
    <r>
      <t>E</t>
    </r>
    <r>
      <rPr>
        <b/>
        <vertAlign val="subscript"/>
        <sz val="12"/>
        <rFont val="Symbol"/>
        <family val="1"/>
        <charset val="2"/>
      </rPr>
      <t>q</t>
    </r>
  </si>
  <si>
    <t>compression transversale</t>
  </si>
  <si>
    <r>
      <t>E</t>
    </r>
    <r>
      <rPr>
        <b/>
        <vertAlign val="subscript"/>
        <sz val="10"/>
        <rFont val="Arial"/>
        <family val="2"/>
      </rPr>
      <t>L</t>
    </r>
  </si>
  <si>
    <t>BOIS MASSIF</t>
  </si>
  <si>
    <t>compression simple axiale :</t>
  </si>
  <si>
    <t>compression simple axiale en bout :</t>
  </si>
  <si>
    <t>bois/acier</t>
  </si>
  <si>
    <t>bois dur/bois dur</t>
  </si>
  <si>
    <t>bois tendre/bois tendre</t>
  </si>
  <si>
    <t>TABLEAU  6</t>
  </si>
  <si>
    <t>bois dur/bois tendre</t>
  </si>
  <si>
    <t>coefficient en fonction de la hauteur de la pièce</t>
  </si>
  <si>
    <t>traction axiale</t>
  </si>
  <si>
    <t>hauteur de la pièce</t>
  </si>
  <si>
    <t>h cm</t>
  </si>
  <si>
    <t>flexion statique :</t>
  </si>
  <si>
    <t>Coefficient c</t>
  </si>
  <si>
    <t>largeur de la pièce</t>
  </si>
  <si>
    <t>longueur de flambement</t>
  </si>
  <si>
    <t>coefficient c</t>
  </si>
  <si>
    <t>Iz = Inertie =</t>
  </si>
  <si>
    <t>Iy = inertie =</t>
  </si>
  <si>
    <t>cm5</t>
  </si>
  <si>
    <t>Aire =</t>
  </si>
  <si>
    <t>iz = rayon giration =</t>
  </si>
  <si>
    <t>iy = rayon giration =</t>
  </si>
  <si>
    <t>élangement section =</t>
  </si>
  <si>
    <t>élancement longitudinal =</t>
  </si>
  <si>
    <t>Fatigue :</t>
  </si>
  <si>
    <t>TABLEAU  7</t>
  </si>
  <si>
    <t>réduction flexion</t>
  </si>
  <si>
    <t>compression transversale localisée</t>
  </si>
  <si>
    <t>compression transversale :</t>
  </si>
  <si>
    <t>L/h  \   a/h</t>
  </si>
  <si>
    <t>a</t>
  </si>
  <si>
    <t>h</t>
  </si>
  <si>
    <t>L</t>
  </si>
  <si>
    <t>&gt;3</t>
  </si>
  <si>
    <t>coefficient =</t>
  </si>
  <si>
    <t>compression oblique non localisée :</t>
  </si>
  <si>
    <t>compression oblique ocalisée :</t>
  </si>
  <si>
    <t>traction transversale :</t>
  </si>
  <si>
    <t>traction oblique :</t>
  </si>
  <si>
    <t>cisaillement longitudinal :</t>
  </si>
  <si>
    <t>section cisaillée</t>
  </si>
  <si>
    <t>cisaillement transversal :</t>
  </si>
  <si>
    <t>sans objet</t>
  </si>
  <si>
    <t>Flambement :</t>
  </si>
  <si>
    <t>dimension de la pièce</t>
  </si>
  <si>
    <t>longueur de troncon</t>
  </si>
  <si>
    <t>coeffient flambement</t>
  </si>
  <si>
    <t>longueur flambement</t>
  </si>
  <si>
    <t>Inertie</t>
  </si>
  <si>
    <t>rayon giration</t>
  </si>
  <si>
    <t xml:space="preserve">élancement </t>
  </si>
  <si>
    <t>Ec =</t>
  </si>
  <si>
    <t>bars</t>
  </si>
  <si>
    <r>
      <t xml:space="preserve">s </t>
    </r>
    <r>
      <rPr>
        <vertAlign val="superscript"/>
        <sz val="10"/>
        <rFont val="Symbol"/>
        <family val="1"/>
        <charset val="2"/>
      </rPr>
      <t xml:space="preserve">_ </t>
    </r>
    <r>
      <rPr>
        <sz val="10"/>
        <rFont val="Roman"/>
        <family val="1"/>
        <charset val="255"/>
      </rPr>
      <t>'</t>
    </r>
  </si>
  <si>
    <t>k =</t>
  </si>
  <si>
    <t>Explications:</t>
  </si>
  <si>
    <t>Prendre par défaut du bois de catégorie 2</t>
  </si>
  <si>
    <t>RESINEUX ou CHENE</t>
  </si>
  <si>
    <t>MASSIF ou LAMELLE</t>
  </si>
  <si>
    <t>Poids propre de la poutre</t>
  </si>
  <si>
    <t xml:space="preserve">Poids Propre des autres structures du plancher (platelage, revêtement), cloisons, etc. Prendre 1,5KN/m2 mini (parquet + cloison placo) </t>
  </si>
  <si>
    <t>1kN =100kg</t>
  </si>
  <si>
    <t>20% de la surcharge d'exploitation (meubles) = 0,3kN pour habitation</t>
  </si>
  <si>
    <t>80% de la surcharge d'exploitation (les gens) = 1,2kN pour habitation</t>
  </si>
  <si>
    <t>Neige, à calculer suivant NV65, de l'ordre de 0,5KN/m2 dans le sud et pour altitude inférieure à 200m, jusqu'à 1KN/m2 et plus ailleurs</t>
  </si>
  <si>
    <t>Exemple: poids propre d'une cloisson chanvribloc et enduit terre : (0,1*300kg/m2+2*0,02*2000kg/m3)*3m de haut/0,6m entraxe des poutre = 550kg/m2 de charge équivalente --&gt; gsup = 5,5+0,5 = 6KN/m2 !?!</t>
  </si>
  <si>
    <t>Coefficient de sécurité réglementaire 2,75 à l'ELS par rapport à la rupture en considérant un bois parfait.</t>
  </si>
  <si>
    <t>H = 15% par défaut</t>
  </si>
  <si>
    <r>
      <t>D</t>
    </r>
    <r>
      <rPr>
        <sz val="10"/>
        <color indexed="57"/>
        <rFont val="Arial"/>
      </rPr>
      <t xml:space="preserve"> H = 5% par défaut</t>
    </r>
  </si>
  <si>
    <t>Effort de compression éventuel à indiquer, la longueur de flambement est prise égale à la portée.</t>
  </si>
  <si>
    <t>Moment suivant l'autre axe à indiqué, dimenssionant dans le cas d'une panne à dévers, le calcul de la flèche ne tient compte que de MY pas de Mz, il faut donc faire le calcul dans les 2 directions.</t>
  </si>
  <si>
    <t>L'aire nette tient compte de toutes les entailles</t>
  </si>
  <si>
    <t xml:space="preserve">Attention à ne pas sous dimensionner les planchers, la flèche est directement proportionelle au chargement et à la vibration des plancher </t>
  </si>
  <si>
    <t>Si la poutre est plus haute que 4 fois sa largeur, elle doit être stabiliser tout les 60 fois sa largeur et sur appui.</t>
  </si>
  <si>
    <t>Surface d'appui minimum en about de poutre:</t>
  </si>
  <si>
    <t>En cas d'entaille en sous face de la poutre au niveau de l'appui, le % indiqué est faux, il est prudent dans ce cas de na pas dépasser 50%.</t>
  </si>
  <si>
    <t>Le flambement c'est l'effet spaghetti sur un poteau comprimé.</t>
  </si>
  <si>
    <t>comp transversale</t>
  </si>
  <si>
    <t>Résistance à la compression d'une barre</t>
  </si>
  <si>
    <t>Résistance à la compression transversale de la poutre appuyée sur ou sous le poteau (cas d'un appui d'about)</t>
  </si>
  <si>
    <t>Vérif des contraintes admissibles (au premier genre):</t>
  </si>
  <si>
    <t>En l'absence de queue d'aronde ou système adéquat de blocage le repos minimum d'une poutre est 5cm.</t>
  </si>
  <si>
    <t>Vent, à calculer suivant NV65, de l'ordre de 0,5kN/m2 en soulèvement à l'ELS sur toiture plate, jusqu'à 1kN/m2 et plus sur mur ou toiture fortement inclinée (pression ou dépression)</t>
  </si>
  <si>
    <r>
      <rPr>
        <b/>
        <sz val="18"/>
        <color indexed="8"/>
        <rFont val="Calibri"/>
        <family val="2"/>
      </rPr>
      <t xml:space="preserve">→   </t>
    </r>
    <r>
      <rPr>
        <b/>
        <i/>
        <sz val="18"/>
        <color indexed="8"/>
        <rFont val="Calibri"/>
        <family val="2"/>
      </rPr>
      <t xml:space="preserve">Vérification d'une poutre au CB 71   </t>
    </r>
    <r>
      <rPr>
        <b/>
        <sz val="18"/>
        <color indexed="8"/>
        <rFont val="Calibri"/>
        <family val="2"/>
      </rPr>
      <t>←</t>
    </r>
  </si>
  <si>
    <t>Caractéristiques géométriques</t>
  </si>
  <si>
    <t>densité du bois (kg/m3)</t>
  </si>
  <si>
    <t>Type de bois</t>
  </si>
  <si>
    <t>RESINEUX / CHENE</t>
  </si>
  <si>
    <t>MASSIF / LAMELLE</t>
  </si>
  <si>
    <t>Catégorie (1,2 ou 3)</t>
  </si>
  <si>
    <t>Charges</t>
  </si>
  <si>
    <t>CARACTERISTIQUES DE LA POUTRE</t>
  </si>
  <si>
    <t>Poids propre additionnel</t>
  </si>
  <si>
    <t>Poids propre poutre</t>
  </si>
  <si>
    <t>Charge d'exploitation</t>
  </si>
  <si>
    <t>Vent</t>
  </si>
  <si>
    <t>Neige</t>
  </si>
  <si>
    <t>RESULTATS</t>
  </si>
  <si>
    <t>kg/m2</t>
  </si>
  <si>
    <t>Résultats ELS (1er genre)</t>
  </si>
  <si>
    <t>kg/ml</t>
  </si>
  <si>
    <t>Pondération</t>
  </si>
  <si>
    <t>TOTAL</t>
  </si>
  <si>
    <t xml:space="preserve">     Titre du projet : </t>
  </si>
  <si>
    <t xml:space="preserve">     Elément concerné : </t>
  </si>
  <si>
    <t xml:space="preserve">CHARGEMENT DE LA POUTRE </t>
  </si>
  <si>
    <t xml:space="preserve">Charge totale sur la poutre </t>
  </si>
  <si>
    <t xml:space="preserve">Charge par appui </t>
  </si>
  <si>
    <t xml:space="preserve">Moment de flexion </t>
  </si>
  <si>
    <t xml:space="preserve">Contrainte de flexion </t>
  </si>
  <si>
    <t xml:space="preserve">Flèche </t>
  </si>
  <si>
    <t>Maison en paille</t>
  </si>
  <si>
    <t>Solives plancher</t>
  </si>
  <si>
    <t>hauteur (h)</t>
  </si>
  <si>
    <t>largeur (b)</t>
  </si>
  <si>
    <t>entraxe (a)</t>
  </si>
  <si>
    <t>portée (L)</t>
  </si>
  <si>
    <t>Contrainte de cisaillement</t>
  </si>
  <si>
    <t>profondeur mini d'appui :</t>
  </si>
  <si>
    <t>Calculette Bois V. 2</t>
  </si>
</sst>
</file>

<file path=xl/styles.xml><?xml version="1.0" encoding="utf-8"?>
<styleSheet xmlns="http://schemas.openxmlformats.org/spreadsheetml/2006/main">
  <numFmts count="11">
    <numFmt numFmtId="164" formatCode="0.0"/>
    <numFmt numFmtId="165" formatCode="0.000"/>
    <numFmt numFmtId="166" formatCode="0.E+00"/>
    <numFmt numFmtId="167" formatCode="0.0E+00"/>
    <numFmt numFmtId="168" formatCode="#&quot; kg&quot;"/>
    <numFmt numFmtId="169" formatCode="#&quot; kg.m&quot;"/>
    <numFmt numFmtId="170" formatCode="#&quot; kg/cm2&quot;"/>
    <numFmt numFmtId="172" formatCode="0.00&quot;  cm&quot;"/>
    <numFmt numFmtId="175" formatCode="0.0&quot; cm &quot;"/>
    <numFmt numFmtId="176" formatCode="#&quot; cm&quot;"/>
    <numFmt numFmtId="177" formatCode="0&quot; kg/m3m&quot;"/>
  </numFmts>
  <fonts count="40">
    <font>
      <sz val="10"/>
      <name val="Arial"/>
    </font>
    <font>
      <sz val="10"/>
      <name val="Arial"/>
    </font>
    <font>
      <sz val="10"/>
      <color indexed="10"/>
      <name val="Arial"/>
    </font>
    <font>
      <sz val="8"/>
      <name val="Arial"/>
    </font>
    <font>
      <b/>
      <u/>
      <sz val="16"/>
      <name val="Arial"/>
      <family val="2"/>
    </font>
    <font>
      <b/>
      <u/>
      <sz val="10"/>
      <name val="Arial"/>
      <family val="2"/>
    </font>
    <font>
      <sz val="14"/>
      <name val="Symbol"/>
      <family val="1"/>
      <charset val="2"/>
    </font>
    <font>
      <i/>
      <sz val="10"/>
      <name val="Roman"/>
      <family val="1"/>
      <charset val="255"/>
    </font>
    <font>
      <vertAlign val="superscript"/>
      <sz val="14"/>
      <name val="Symbol"/>
      <family val="1"/>
      <charset val="2"/>
    </font>
    <font>
      <sz val="10"/>
      <name val="Symbol"/>
      <family val="1"/>
      <charset val="2"/>
    </font>
    <font>
      <b/>
      <sz val="12"/>
      <color indexed="10"/>
      <name val="Arial"/>
    </font>
    <font>
      <b/>
      <sz val="12"/>
      <name val="Arial"/>
      <family val="2"/>
    </font>
    <font>
      <sz val="10"/>
      <name val="Arial"/>
      <family val="2"/>
    </font>
    <font>
      <sz val="8.5"/>
      <name val="Arial"/>
    </font>
    <font>
      <sz val="10"/>
      <color indexed="12"/>
      <name val="Arial"/>
      <family val="2"/>
    </font>
    <font>
      <sz val="14"/>
      <name val="Roman"/>
      <family val="1"/>
      <charset val="255"/>
    </font>
    <font>
      <i/>
      <sz val="12"/>
      <name val="Roman"/>
      <family val="1"/>
      <charset val="255"/>
    </font>
    <font>
      <b/>
      <sz val="10"/>
      <name val="Arial"/>
      <family val="2"/>
    </font>
    <font>
      <b/>
      <vertAlign val="subscript"/>
      <sz val="10"/>
      <name val="Arial"/>
      <family val="2"/>
    </font>
    <font>
      <b/>
      <vertAlign val="subscript"/>
      <sz val="12"/>
      <name val="Symbol"/>
      <family val="1"/>
      <charset val="2"/>
    </font>
    <font>
      <b/>
      <sz val="14"/>
      <name val="Arial"/>
      <family val="2"/>
    </font>
    <font>
      <b/>
      <sz val="10"/>
      <color indexed="57"/>
      <name val="Arial"/>
      <family val="2"/>
    </font>
    <font>
      <vertAlign val="superscript"/>
      <sz val="10"/>
      <name val="Symbol"/>
      <family val="1"/>
      <charset val="2"/>
    </font>
    <font>
      <sz val="10"/>
      <name val="Roman"/>
      <family val="1"/>
      <charset val="255"/>
    </font>
    <font>
      <b/>
      <sz val="8"/>
      <color indexed="81"/>
      <name val="Tahoma"/>
    </font>
    <font>
      <b/>
      <u/>
      <sz val="16"/>
      <color indexed="57"/>
      <name val="Arial"/>
      <family val="2"/>
    </font>
    <font>
      <sz val="10"/>
      <color indexed="57"/>
      <name val="Arial"/>
    </font>
    <font>
      <b/>
      <u/>
      <sz val="10"/>
      <color indexed="57"/>
      <name val="Arial"/>
      <family val="2"/>
    </font>
    <font>
      <sz val="14"/>
      <color indexed="57"/>
      <name val="Symbol"/>
      <family val="1"/>
      <charset val="2"/>
    </font>
    <font>
      <sz val="10"/>
      <color indexed="57"/>
      <name val="Symbol"/>
      <family val="1"/>
      <charset val="2"/>
    </font>
    <font>
      <b/>
      <sz val="12"/>
      <color indexed="57"/>
      <name val="Arial"/>
    </font>
    <font>
      <b/>
      <sz val="12"/>
      <color indexed="57"/>
      <name val="Arial"/>
      <family val="2"/>
    </font>
    <font>
      <sz val="12"/>
      <name val="Arial"/>
      <family val="2"/>
    </font>
    <font>
      <b/>
      <i/>
      <sz val="18"/>
      <color indexed="8"/>
      <name val="Calibri"/>
      <family val="2"/>
    </font>
    <font>
      <b/>
      <sz val="18"/>
      <color indexed="8"/>
      <name val="Calibri"/>
      <family val="2"/>
    </font>
    <font>
      <b/>
      <i/>
      <sz val="11"/>
      <color indexed="8"/>
      <name val="Calibri"/>
      <family val="2"/>
    </font>
    <font>
      <i/>
      <sz val="11"/>
      <color indexed="8"/>
      <name val="Calibri"/>
      <family val="2"/>
    </font>
    <font>
      <b/>
      <i/>
      <sz val="12"/>
      <color indexed="8"/>
      <name val="Calibri"/>
      <family val="2"/>
    </font>
    <font>
      <b/>
      <sz val="10"/>
      <color indexed="10"/>
      <name val="Arial"/>
      <family val="2"/>
    </font>
    <font>
      <b/>
      <i/>
      <sz val="11"/>
      <color indexed="12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53">
    <xf numFmtId="0" fontId="0" fillId="0" borderId="0" xfId="0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75" fontId="0" fillId="2" borderId="1" xfId="0" applyNumberFormat="1" applyFill="1" applyBorder="1" applyAlignment="1" applyProtection="1">
      <alignment horizontal="center" vertical="center"/>
      <protection locked="0"/>
    </xf>
    <xf numFmtId="176" fontId="0" fillId="2" borderId="1" xfId="0" applyNumberFormat="1" applyFill="1" applyBorder="1" applyAlignment="1" applyProtection="1">
      <alignment horizontal="center" vertical="center"/>
      <protection locked="0"/>
    </xf>
    <xf numFmtId="177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Fill="1" applyBorder="1" applyProtection="1"/>
    <xf numFmtId="0" fontId="3" fillId="0" borderId="0" xfId="0" applyFont="1" applyFill="1" applyBorder="1" applyProtection="1"/>
    <xf numFmtId="0" fontId="35" fillId="0" borderId="0" xfId="0" applyFont="1" applyBorder="1" applyAlignment="1" applyProtection="1">
      <alignment horizontal="center" vertical="center" wrapText="1"/>
    </xf>
    <xf numFmtId="0" fontId="35" fillId="0" borderId="2" xfId="0" applyFont="1" applyBorder="1" applyAlignment="1" applyProtection="1">
      <alignment horizontal="right" vertical="center"/>
    </xf>
    <xf numFmtId="0" fontId="35" fillId="0" borderId="0" xfId="0" applyFont="1" applyBorder="1" applyAlignment="1" applyProtection="1">
      <alignment vertical="center"/>
    </xf>
    <xf numFmtId="0" fontId="35" fillId="0" borderId="0" xfId="0" applyFont="1" applyBorder="1" applyAlignment="1" applyProtection="1">
      <alignment horizontal="right" vertical="center"/>
    </xf>
    <xf numFmtId="0" fontId="39" fillId="0" borderId="0" xfId="0" applyFont="1" applyBorder="1" applyAlignment="1" applyProtection="1">
      <alignment horizontal="left" vertical="center"/>
    </xf>
    <xf numFmtId="0" fontId="35" fillId="0" borderId="0" xfId="0" applyFont="1" applyBorder="1" applyAlignment="1" applyProtection="1">
      <alignment horizontal="center" vertical="center"/>
    </xf>
    <xf numFmtId="0" fontId="36" fillId="0" borderId="0" xfId="0" applyFont="1" applyBorder="1" applyAlignment="1" applyProtection="1">
      <alignment horizontal="center" vertical="center"/>
    </xf>
    <xf numFmtId="0" fontId="35" fillId="0" borderId="1" xfId="0" applyFont="1" applyBorder="1" applyAlignment="1" applyProtection="1">
      <alignment horizontal="center" vertical="center"/>
    </xf>
    <xf numFmtId="0" fontId="36" fillId="0" borderId="1" xfId="0" applyFont="1" applyBorder="1" applyAlignment="1" applyProtection="1">
      <alignment horizontal="right"/>
    </xf>
    <xf numFmtId="0" fontId="0" fillId="0" borderId="0" xfId="0" applyFill="1" applyBorder="1" applyAlignment="1" applyProtection="1"/>
    <xf numFmtId="0" fontId="36" fillId="0" borderId="1" xfId="0" applyFont="1" applyBorder="1" applyAlignment="1" applyProtection="1">
      <alignment horizontal="right" vertical="center"/>
    </xf>
    <xf numFmtId="0" fontId="36" fillId="0" borderId="0" xfId="0" applyFont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 vertical="center"/>
    </xf>
    <xf numFmtId="0" fontId="36" fillId="0" borderId="0" xfId="0" applyFont="1" applyBorder="1" applyAlignment="1" applyProtection="1">
      <alignment horizontal="right" vertical="center"/>
    </xf>
    <xf numFmtId="2" fontId="0" fillId="0" borderId="0" xfId="0" applyNumberFormat="1" applyFill="1" applyBorder="1" applyAlignment="1" applyProtection="1">
      <alignment horizontal="center" vertical="center"/>
    </xf>
    <xf numFmtId="0" fontId="0" fillId="0" borderId="2" xfId="0" applyBorder="1" applyProtection="1"/>
    <xf numFmtId="0" fontId="0" fillId="0" borderId="3" xfId="0" applyBorder="1" applyProtection="1"/>
    <xf numFmtId="0" fontId="0" fillId="0" borderId="4" xfId="0" applyBorder="1" applyAlignment="1" applyProtection="1">
      <alignment vertical="center"/>
    </xf>
    <xf numFmtId="0" fontId="36" fillId="0" borderId="0" xfId="0" applyFont="1" applyAlignment="1" applyProtection="1">
      <alignment vertical="center" wrapText="1"/>
    </xf>
    <xf numFmtId="0" fontId="0" fillId="0" borderId="0" xfId="0" applyBorder="1" applyProtection="1"/>
    <xf numFmtId="0" fontId="36" fillId="0" borderId="0" xfId="0" applyFont="1" applyFill="1" applyBorder="1" applyAlignment="1" applyProtection="1">
      <alignment horizontal="right" vertical="center"/>
    </xf>
    <xf numFmtId="0" fontId="36" fillId="0" borderId="0" xfId="0" applyFont="1" applyBorder="1" applyAlignment="1" applyProtection="1">
      <alignment horizontal="right" vertical="center"/>
    </xf>
    <xf numFmtId="2" fontId="0" fillId="0" borderId="0" xfId="0" applyNumberFormat="1" applyFill="1" applyBorder="1" applyAlignment="1" applyProtection="1">
      <alignment horizontal="center" vertical="center"/>
    </xf>
    <xf numFmtId="0" fontId="35" fillId="0" borderId="2" xfId="0" applyFont="1" applyBorder="1" applyAlignment="1" applyProtection="1">
      <alignment horizontal="center" vertical="center"/>
    </xf>
    <xf numFmtId="1" fontId="0" fillId="0" borderId="1" xfId="0" applyNumberFormat="1" applyFill="1" applyBorder="1" applyAlignment="1" applyProtection="1">
      <alignment horizontal="center" vertical="center"/>
    </xf>
    <xf numFmtId="0" fontId="0" fillId="0" borderId="1" xfId="0" applyNumberFormat="1" applyFill="1" applyBorder="1" applyAlignment="1" applyProtection="1">
      <alignment horizontal="center" vertical="center"/>
    </xf>
    <xf numFmtId="1" fontId="38" fillId="0" borderId="0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36" fillId="0" borderId="0" xfId="0" applyFont="1" applyFill="1" applyBorder="1" applyAlignment="1" applyProtection="1">
      <alignment horizontal="right"/>
    </xf>
    <xf numFmtId="0" fontId="0" fillId="0" borderId="0" xfId="0" applyFill="1" applyBorder="1" applyAlignment="1" applyProtection="1">
      <alignment horizontal="center"/>
    </xf>
    <xf numFmtId="168" fontId="0" fillId="0" borderId="1" xfId="0" applyNumberFormat="1" applyFill="1" applyBorder="1" applyAlignment="1" applyProtection="1">
      <alignment horizontal="right" vertical="center"/>
    </xf>
    <xf numFmtId="9" fontId="38" fillId="0" borderId="0" xfId="0" applyNumberFormat="1" applyFont="1" applyFill="1" applyBorder="1" applyProtection="1"/>
    <xf numFmtId="9" fontId="12" fillId="0" borderId="0" xfId="0" applyNumberFormat="1" applyFont="1" applyFill="1" applyBorder="1" applyProtection="1"/>
    <xf numFmtId="170" fontId="0" fillId="0" borderId="1" xfId="0" applyNumberFormat="1" applyFill="1" applyBorder="1" applyAlignment="1" applyProtection="1">
      <alignment horizontal="right" vertical="center"/>
    </xf>
    <xf numFmtId="9" fontId="38" fillId="3" borderId="0" xfId="0" applyNumberFormat="1" applyFont="1" applyFill="1" applyBorder="1" applyProtection="1"/>
    <xf numFmtId="9" fontId="38" fillId="3" borderId="0" xfId="0" applyNumberFormat="1" applyFont="1" applyFill="1" applyBorder="1" applyAlignment="1" applyProtection="1">
      <alignment horizontal="left"/>
    </xf>
    <xf numFmtId="169" fontId="0" fillId="0" borderId="1" xfId="0" applyNumberFormat="1" applyFill="1" applyBorder="1" applyAlignment="1" applyProtection="1">
      <alignment horizontal="right" vertical="center"/>
    </xf>
    <xf numFmtId="0" fontId="0" fillId="3" borderId="0" xfId="0" applyFill="1" applyBorder="1" applyProtection="1"/>
    <xf numFmtId="172" fontId="0" fillId="0" borderId="1" xfId="0" applyNumberFormat="1" applyFill="1" applyBorder="1" applyAlignment="1" applyProtection="1">
      <alignment horizontal="right" vertical="center"/>
    </xf>
    <xf numFmtId="172" fontId="0" fillId="0" borderId="0" xfId="0" applyNumberFormat="1" applyFill="1" applyBorder="1" applyAlignment="1" applyProtection="1">
      <alignment horizontal="right" vertical="center"/>
    </xf>
    <xf numFmtId="0" fontId="0" fillId="0" borderId="0" xfId="0" applyFill="1" applyBorder="1" applyProtection="1"/>
    <xf numFmtId="0" fontId="36" fillId="0" borderId="0" xfId="0" applyFont="1" applyFill="1" applyBorder="1" applyAlignment="1" applyProtection="1">
      <alignment horizontal="right" vertical="center"/>
    </xf>
    <xf numFmtId="0" fontId="0" fillId="0" borderId="0" xfId="0" applyBorder="1" applyAlignment="1" applyProtection="1">
      <alignment horizontal="center"/>
    </xf>
    <xf numFmtId="0" fontId="36" fillId="0" borderId="0" xfId="0" applyFont="1" applyBorder="1" applyAlignment="1" applyProtection="1">
      <alignment horizontal="right"/>
    </xf>
    <xf numFmtId="168" fontId="0" fillId="0" borderId="0" xfId="0" applyNumberFormat="1" applyFill="1" applyBorder="1" applyAlignment="1" applyProtection="1">
      <alignment horizontal="right" vertical="center"/>
    </xf>
    <xf numFmtId="0" fontId="0" fillId="0" borderId="0" xfId="0" applyFill="1" applyProtection="1"/>
    <xf numFmtId="170" fontId="0" fillId="0" borderId="0" xfId="0" applyNumberFormat="1" applyFill="1" applyBorder="1" applyAlignment="1" applyProtection="1">
      <alignment horizontal="right" vertical="center"/>
    </xf>
    <xf numFmtId="169" fontId="0" fillId="0" borderId="0" xfId="0" applyNumberFormat="1" applyFill="1" applyBorder="1" applyAlignment="1" applyProtection="1">
      <alignment horizontal="right" vertical="center"/>
    </xf>
    <xf numFmtId="0" fontId="0" fillId="0" borderId="0" xfId="0" applyFill="1" applyBorder="1" applyAlignment="1" applyProtection="1">
      <alignment horizontal="center"/>
    </xf>
    <xf numFmtId="172" fontId="0" fillId="0" borderId="0" xfId="0" applyNumberFormat="1" applyFill="1" applyBorder="1" applyAlignment="1" applyProtection="1">
      <alignment horizontal="right" vertical="center"/>
    </xf>
    <xf numFmtId="0" fontId="37" fillId="0" borderId="0" xfId="0" applyFont="1" applyFill="1" applyBorder="1" applyAlignment="1" applyProtection="1">
      <alignment horizontal="center" vertical="center"/>
    </xf>
    <xf numFmtId="0" fontId="36" fillId="0" borderId="0" xfId="0" applyFont="1" applyFill="1" applyBorder="1" applyAlignment="1" applyProtection="1"/>
    <xf numFmtId="0" fontId="36" fillId="0" borderId="0" xfId="0" applyFont="1" applyFill="1" applyBorder="1" applyAlignment="1" applyProtection="1">
      <alignment horizontal="right"/>
    </xf>
    <xf numFmtId="1" fontId="0" fillId="0" borderId="0" xfId="0" applyNumberFormat="1" applyFill="1" applyBorder="1" applyAlignment="1" applyProtection="1">
      <alignment horizontal="center" vertical="center"/>
    </xf>
    <xf numFmtId="164" fontId="0" fillId="0" borderId="0" xfId="0" applyNumberForma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/>
    </xf>
    <xf numFmtId="0" fontId="35" fillId="0" borderId="0" xfId="0" applyFont="1" applyFill="1" applyBorder="1" applyAlignment="1" applyProtection="1"/>
    <xf numFmtId="0" fontId="35" fillId="0" borderId="0" xfId="0" applyFont="1" applyBorder="1" applyAlignment="1" applyProtection="1"/>
    <xf numFmtId="0" fontId="36" fillId="0" borderId="0" xfId="0" applyFont="1" applyFill="1" applyBorder="1" applyAlignment="1" applyProtection="1">
      <alignment horizontal="center" vertical="center"/>
    </xf>
    <xf numFmtId="0" fontId="36" fillId="0" borderId="0" xfId="0" applyFont="1" applyBorder="1" applyAlignment="1" applyProtection="1"/>
    <xf numFmtId="0" fontId="36" fillId="0" borderId="0" xfId="0" applyFont="1" applyFill="1" applyBorder="1" applyAlignment="1" applyProtection="1">
      <alignment horizontal="center" vertical="center"/>
    </xf>
    <xf numFmtId="0" fontId="36" fillId="0" borderId="0" xfId="0" applyFont="1" applyFill="1" applyBorder="1" applyAlignment="1" applyProtection="1">
      <alignment horizontal="right" vertical="center" wrapText="1"/>
    </xf>
    <xf numFmtId="0" fontId="0" fillId="0" borderId="0" xfId="0" applyFill="1" applyBorder="1" applyAlignment="1" applyProtection="1">
      <alignment horizontal="right"/>
    </xf>
    <xf numFmtId="0" fontId="0" fillId="0" borderId="0" xfId="0" applyFill="1" applyBorder="1" applyAlignment="1" applyProtection="1">
      <alignment horizontal="center" vertical="center"/>
    </xf>
    <xf numFmtId="2" fontId="0" fillId="0" borderId="0" xfId="0" applyNumberFormat="1" applyFill="1" applyBorder="1" applyAlignment="1" applyProtection="1">
      <alignment horizontal="center"/>
    </xf>
    <xf numFmtId="1" fontId="0" fillId="0" borderId="0" xfId="0" applyNumberFormat="1" applyFill="1" applyBorder="1" applyProtection="1"/>
    <xf numFmtId="164" fontId="0" fillId="0" borderId="0" xfId="0" applyNumberFormat="1" applyFill="1" applyBorder="1" applyProtection="1"/>
    <xf numFmtId="0" fontId="2" fillId="0" borderId="0" xfId="0" applyFont="1" applyFill="1" applyBorder="1" applyProtection="1"/>
    <xf numFmtId="0" fontId="12" fillId="0" borderId="0" xfId="0" applyFont="1" applyFill="1" applyBorder="1" applyProtection="1"/>
    <xf numFmtId="166" fontId="0" fillId="0" borderId="0" xfId="0" applyNumberFormat="1" applyFill="1" applyBorder="1" applyAlignment="1" applyProtection="1">
      <alignment horizontal="center"/>
    </xf>
    <xf numFmtId="9" fontId="10" fillId="0" borderId="0" xfId="0" applyNumberFormat="1" applyFont="1" applyFill="1" applyBorder="1" applyAlignment="1" applyProtection="1"/>
    <xf numFmtId="2" fontId="14" fillId="0" borderId="0" xfId="0" applyNumberFormat="1" applyFont="1" applyFill="1" applyBorder="1" applyProtection="1"/>
    <xf numFmtId="2" fontId="0" fillId="0" borderId="0" xfId="0" applyNumberFormat="1" applyFill="1" applyBorder="1" applyProtection="1"/>
    <xf numFmtId="9" fontId="10" fillId="0" borderId="0" xfId="0" applyNumberFormat="1" applyFont="1" applyFill="1" applyBorder="1" applyAlignment="1" applyProtection="1">
      <alignment horizontal="center"/>
    </xf>
    <xf numFmtId="9" fontId="10" fillId="0" borderId="0" xfId="0" applyNumberFormat="1" applyFont="1" applyFill="1" applyBorder="1" applyAlignment="1" applyProtection="1">
      <alignment horizontal="left"/>
    </xf>
    <xf numFmtId="9" fontId="10" fillId="0" borderId="0" xfId="0" applyNumberFormat="1" applyFont="1" applyFill="1" applyBorder="1" applyAlignment="1" applyProtection="1">
      <alignment horizontal="right"/>
    </xf>
    <xf numFmtId="0" fontId="11" fillId="0" borderId="0" xfId="0" applyFont="1" applyFill="1" applyBorder="1" applyProtection="1"/>
    <xf numFmtId="0" fontId="11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 vertical="center" wrapText="1"/>
    </xf>
    <xf numFmtId="0" fontId="3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left" vertical="center" wrapText="1"/>
    </xf>
    <xf numFmtId="0" fontId="6" fillId="0" borderId="0" xfId="0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 applyProtection="1">
      <alignment horizontal="center" vertical="center"/>
    </xf>
    <xf numFmtId="9" fontId="0" fillId="0" borderId="0" xfId="0" applyNumberFormat="1" applyFill="1" applyBorder="1" applyProtection="1"/>
    <xf numFmtId="0" fontId="17" fillId="0" borderId="0" xfId="0" applyFont="1" applyFill="1" applyBorder="1" applyAlignment="1" applyProtection="1">
      <alignment horizontal="center"/>
    </xf>
    <xf numFmtId="0" fontId="20" fillId="0" borderId="0" xfId="0" applyFont="1" applyFill="1" applyBorder="1" applyProtection="1"/>
    <xf numFmtId="0" fontId="5" fillId="0" borderId="0" xfId="0" applyFont="1" applyFill="1" applyBorder="1" applyProtection="1"/>
    <xf numFmtId="0" fontId="21" fillId="0" borderId="0" xfId="0" applyFont="1" applyFill="1" applyBorder="1" applyAlignment="1" applyProtection="1">
      <alignment horizontal="center"/>
    </xf>
    <xf numFmtId="167" fontId="0" fillId="0" borderId="0" xfId="0" applyNumberFormat="1" applyFill="1" applyBorder="1" applyProtection="1"/>
    <xf numFmtId="164" fontId="2" fillId="0" borderId="0" xfId="0" applyNumberFormat="1" applyFont="1" applyFill="1" applyBorder="1" applyProtection="1"/>
    <xf numFmtId="0" fontId="9" fillId="0" borderId="0" xfId="0" applyFont="1" applyFill="1" applyBorder="1" applyAlignment="1" applyProtection="1">
      <alignment horizontal="left" vertical="center"/>
    </xf>
    <xf numFmtId="2" fontId="11" fillId="0" borderId="0" xfId="0" applyNumberFormat="1" applyFont="1" applyFill="1" applyBorder="1" applyAlignment="1" applyProtection="1"/>
    <xf numFmtId="0" fontId="0" fillId="5" borderId="0" xfId="0" applyFill="1" applyProtection="1"/>
    <xf numFmtId="164" fontId="0" fillId="5" borderId="0" xfId="0" applyNumberFormat="1" applyFill="1" applyProtection="1"/>
    <xf numFmtId="0" fontId="2" fillId="5" borderId="0" xfId="0" applyFont="1" applyFill="1" applyProtection="1"/>
    <xf numFmtId="0" fontId="3" fillId="0" borderId="0" xfId="0" applyFont="1" applyProtection="1"/>
    <xf numFmtId="0" fontId="4" fillId="0" borderId="0" xfId="0" applyFont="1" applyProtection="1"/>
    <xf numFmtId="164" fontId="0" fillId="0" borderId="0" xfId="0" applyNumberFormat="1" applyProtection="1"/>
    <xf numFmtId="0" fontId="2" fillId="0" borderId="0" xfId="0" applyFont="1" applyProtection="1"/>
    <xf numFmtId="0" fontId="25" fillId="0" borderId="0" xfId="0" applyFont="1" applyFill="1" applyProtection="1"/>
    <xf numFmtId="0" fontId="26" fillId="0" borderId="0" xfId="0" applyFont="1" applyFill="1" applyBorder="1" applyProtection="1"/>
    <xf numFmtId="0" fontId="5" fillId="0" borderId="0" xfId="0" applyFont="1" applyProtection="1"/>
    <xf numFmtId="0" fontId="27" fillId="0" borderId="0" xfId="0" applyFont="1" applyFill="1" applyBorder="1" applyProtection="1"/>
    <xf numFmtId="2" fontId="0" fillId="6" borderId="0" xfId="0" applyNumberFormat="1" applyFill="1" applyProtection="1"/>
    <xf numFmtId="0" fontId="0" fillId="6" borderId="0" xfId="0" applyFill="1" applyAlignment="1" applyProtection="1">
      <alignment horizontal="center"/>
    </xf>
    <xf numFmtId="0" fontId="1" fillId="0" borderId="0" xfId="0" applyFont="1" applyFill="1" applyBorder="1" applyProtection="1"/>
    <xf numFmtId="164" fontId="0" fillId="0" borderId="7" xfId="0" applyNumberFormat="1" applyBorder="1" applyProtection="1"/>
    <xf numFmtId="0" fontId="2" fillId="0" borderId="8" xfId="0" applyFont="1" applyBorder="1" applyProtection="1"/>
    <xf numFmtId="0" fontId="0" fillId="0" borderId="8" xfId="0" applyBorder="1" applyProtection="1"/>
    <xf numFmtId="0" fontId="0" fillId="0" borderId="9" xfId="0" applyBorder="1" applyProtection="1"/>
    <xf numFmtId="0" fontId="5" fillId="0" borderId="7" xfId="0" applyFont="1" applyBorder="1" applyProtection="1"/>
    <xf numFmtId="0" fontId="0" fillId="0" borderId="10" xfId="0" applyBorder="1" applyAlignment="1" applyProtection="1">
      <alignment horizontal="center"/>
    </xf>
    <xf numFmtId="0" fontId="0" fillId="0" borderId="7" xfId="0" applyBorder="1" applyAlignment="1" applyProtection="1">
      <alignment horizontal="center"/>
    </xf>
    <xf numFmtId="0" fontId="0" fillId="0" borderId="7" xfId="0" applyBorder="1" applyProtection="1"/>
    <xf numFmtId="0" fontId="0" fillId="0" borderId="9" xfId="0" applyBorder="1" applyAlignment="1" applyProtection="1">
      <alignment horizontal="center"/>
    </xf>
    <xf numFmtId="0" fontId="21" fillId="0" borderId="0" xfId="0" applyFont="1" applyFill="1" applyBorder="1" applyProtection="1"/>
    <xf numFmtId="0" fontId="26" fillId="0" borderId="0" xfId="0" applyFont="1" applyFill="1" applyBorder="1" applyAlignment="1" applyProtection="1">
      <alignment horizontal="center"/>
    </xf>
    <xf numFmtId="0" fontId="0" fillId="0" borderId="11" xfId="0" applyBorder="1" applyProtection="1"/>
    <xf numFmtId="0" fontId="0" fillId="0" borderId="12" xfId="0" applyBorder="1" applyAlignment="1" applyProtection="1">
      <alignment horizontal="center"/>
    </xf>
    <xf numFmtId="165" fontId="0" fillId="0" borderId="11" xfId="0" applyNumberFormat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165" fontId="1" fillId="0" borderId="13" xfId="0" applyNumberFormat="1" applyFont="1" applyBorder="1" applyAlignment="1" applyProtection="1">
      <alignment horizontal="center"/>
    </xf>
    <xf numFmtId="0" fontId="0" fillId="5" borderId="0" xfId="0" applyFill="1" applyBorder="1" applyAlignment="1" applyProtection="1">
      <alignment horizontal="center"/>
    </xf>
    <xf numFmtId="0" fontId="26" fillId="0" borderId="0" xfId="0" applyFont="1" applyFill="1" applyProtection="1"/>
    <xf numFmtId="164" fontId="26" fillId="0" borderId="0" xfId="0" applyNumberFormat="1" applyFont="1" applyFill="1" applyBorder="1" applyAlignment="1" applyProtection="1">
      <alignment horizontal="center"/>
    </xf>
    <xf numFmtId="0" fontId="0" fillId="6" borderId="12" xfId="0" applyFill="1" applyBorder="1" applyAlignment="1" applyProtection="1">
      <alignment horizontal="center"/>
    </xf>
    <xf numFmtId="0" fontId="0" fillId="0" borderId="14" xfId="0" applyBorder="1" applyProtection="1"/>
    <xf numFmtId="0" fontId="0" fillId="6" borderId="15" xfId="0" applyFill="1" applyBorder="1" applyAlignment="1" applyProtection="1">
      <alignment horizontal="center"/>
    </xf>
    <xf numFmtId="165" fontId="0" fillId="0" borderId="14" xfId="0" applyNumberFormat="1" applyBorder="1" applyAlignment="1" applyProtection="1">
      <alignment horizontal="center"/>
    </xf>
    <xf numFmtId="0" fontId="0" fillId="5" borderId="14" xfId="0" applyFill="1" applyBorder="1" applyAlignment="1" applyProtection="1">
      <alignment horizontal="center"/>
    </xf>
    <xf numFmtId="165" fontId="1" fillId="0" borderId="16" xfId="0" applyNumberFormat="1" applyFont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1" fillId="0" borderId="0" xfId="0" applyFont="1" applyBorder="1" applyProtection="1"/>
    <xf numFmtId="164" fontId="26" fillId="0" borderId="0" xfId="0" applyNumberFormat="1" applyFont="1" applyFill="1" applyBorder="1" applyProtection="1"/>
    <xf numFmtId="164" fontId="1" fillId="0" borderId="0" xfId="0" applyNumberFormat="1" applyFont="1" applyFill="1" applyBorder="1" applyProtection="1"/>
    <xf numFmtId="2" fontId="26" fillId="0" borderId="0" xfId="0" applyNumberFormat="1" applyFont="1" applyFill="1" applyBorder="1" applyProtection="1"/>
    <xf numFmtId="164" fontId="1" fillId="0" borderId="0" xfId="0" applyNumberFormat="1" applyFont="1" applyFill="1" applyBorder="1" applyAlignment="1" applyProtection="1">
      <alignment horizontal="center"/>
    </xf>
    <xf numFmtId="164" fontId="0" fillId="0" borderId="0" xfId="0" applyNumberFormat="1" applyFill="1" applyBorder="1" applyAlignment="1" applyProtection="1">
      <alignment horizontal="right"/>
    </xf>
    <xf numFmtId="0" fontId="6" fillId="0" borderId="0" xfId="0" applyFont="1" applyBorder="1" applyAlignment="1" applyProtection="1">
      <alignment horizontal="center" vertical="center"/>
    </xf>
    <xf numFmtId="0" fontId="28" fillId="0" borderId="0" xfId="0" applyFont="1" applyFill="1" applyBorder="1" applyAlignment="1" applyProtection="1">
      <alignment horizontal="center" vertical="center"/>
    </xf>
    <xf numFmtId="2" fontId="26" fillId="0" borderId="0" xfId="0" applyNumberFormat="1" applyFont="1" applyFill="1" applyBorder="1" applyAlignment="1" applyProtection="1">
      <alignment horizontal="center"/>
    </xf>
    <xf numFmtId="2" fontId="2" fillId="0" borderId="0" xfId="0" applyNumberFormat="1" applyFont="1" applyProtection="1"/>
    <xf numFmtId="2" fontId="2" fillId="0" borderId="0" xfId="0" applyNumberFormat="1" applyFont="1" applyFill="1" applyBorder="1" applyProtection="1"/>
    <xf numFmtId="9" fontId="1" fillId="6" borderId="0" xfId="0" applyNumberFormat="1" applyFont="1" applyFill="1" applyProtection="1"/>
    <xf numFmtId="9" fontId="1" fillId="0" borderId="0" xfId="0" applyNumberFormat="1" applyFont="1" applyFill="1" applyProtection="1"/>
    <xf numFmtId="9" fontId="26" fillId="0" borderId="0" xfId="0" applyNumberFormat="1" applyFont="1" applyFill="1" applyBorder="1" applyProtection="1"/>
    <xf numFmtId="9" fontId="1" fillId="0" borderId="0" xfId="0" applyNumberFormat="1" applyFont="1" applyFill="1" applyBorder="1" applyProtection="1"/>
    <xf numFmtId="0" fontId="9" fillId="0" borderId="0" xfId="0" applyFont="1" applyProtection="1"/>
    <xf numFmtId="0" fontId="29" fillId="0" borderId="0" xfId="0" applyFont="1" applyProtection="1"/>
    <xf numFmtId="0" fontId="0" fillId="0" borderId="13" xfId="0" applyBorder="1" applyProtection="1"/>
    <xf numFmtId="1" fontId="0" fillId="0" borderId="0" xfId="0" applyNumberFormat="1" applyProtection="1"/>
    <xf numFmtId="1" fontId="26" fillId="0" borderId="0" xfId="0" applyNumberFormat="1" applyFont="1" applyFill="1" applyBorder="1" applyProtection="1"/>
    <xf numFmtId="2" fontId="1" fillId="0" borderId="0" xfId="0" applyNumberFormat="1" applyFont="1" applyBorder="1" applyProtection="1"/>
    <xf numFmtId="0" fontId="0" fillId="0" borderId="17" xfId="0" applyBorder="1" applyProtection="1"/>
    <xf numFmtId="0" fontId="0" fillId="0" borderId="16" xfId="0" applyBorder="1" applyProtection="1"/>
    <xf numFmtId="9" fontId="10" fillId="0" borderId="19" xfId="0" applyNumberFormat="1" applyFont="1" applyBorder="1" applyAlignment="1" applyProtection="1">
      <alignment horizontal="center"/>
    </xf>
    <xf numFmtId="9" fontId="10" fillId="0" borderId="19" xfId="0" applyNumberFormat="1" applyFont="1" applyBorder="1" applyAlignment="1" applyProtection="1">
      <alignment horizontal="left"/>
    </xf>
    <xf numFmtId="9" fontId="10" fillId="0" borderId="19" xfId="0" applyNumberFormat="1" applyFont="1" applyBorder="1" applyAlignment="1" applyProtection="1">
      <alignment horizontal="right"/>
    </xf>
    <xf numFmtId="9" fontId="30" fillId="0" borderId="0" xfId="0" applyNumberFormat="1" applyFont="1" applyFill="1" applyBorder="1" applyAlignment="1" applyProtection="1">
      <alignment horizontal="center"/>
    </xf>
    <xf numFmtId="0" fontId="0" fillId="6" borderId="0" xfId="0" applyFill="1" applyProtection="1"/>
    <xf numFmtId="164" fontId="5" fillId="0" borderId="7" xfId="0" applyNumberFormat="1" applyFont="1" applyBorder="1" applyProtection="1"/>
    <xf numFmtId="164" fontId="0" fillId="7" borderId="0" xfId="0" applyNumberFormat="1" applyFill="1" applyProtection="1"/>
    <xf numFmtId="0" fontId="6" fillId="0" borderId="11" xfId="0" applyFont="1" applyBorder="1" applyAlignment="1" applyProtection="1">
      <alignment horizontal="center" vertical="center"/>
    </xf>
    <xf numFmtId="164" fontId="1" fillId="0" borderId="0" xfId="0" applyNumberFormat="1" applyFont="1" applyBorder="1" applyProtection="1"/>
    <xf numFmtId="165" fontId="26" fillId="0" borderId="0" xfId="0" applyNumberFormat="1" applyFont="1" applyFill="1" applyBorder="1" applyProtection="1"/>
    <xf numFmtId="164" fontId="0" fillId="0" borderId="11" xfId="0" applyNumberFormat="1" applyBorder="1" applyProtection="1"/>
    <xf numFmtId="164" fontId="0" fillId="0" borderId="14" xfId="0" applyNumberFormat="1" applyBorder="1" applyProtection="1"/>
    <xf numFmtId="164" fontId="0" fillId="0" borderId="17" xfId="0" applyNumberFormat="1" applyBorder="1" applyProtection="1"/>
    <xf numFmtId="0" fontId="0" fillId="0" borderId="8" xfId="0" applyBorder="1" applyAlignment="1" applyProtection="1">
      <alignment horizontal="center"/>
    </xf>
    <xf numFmtId="164" fontId="0" fillId="0" borderId="8" xfId="0" applyNumberFormat="1" applyBorder="1" applyAlignment="1" applyProtection="1">
      <alignment horizontal="center"/>
    </xf>
    <xf numFmtId="164" fontId="0" fillId="0" borderId="0" xfId="0" applyNumberFormat="1" applyFill="1" applyBorder="1" applyAlignment="1" applyProtection="1">
      <alignment horizontal="center"/>
    </xf>
    <xf numFmtId="0" fontId="0" fillId="0" borderId="11" xfId="0" applyBorder="1" applyAlignment="1" applyProtection="1">
      <alignment horizontal="center"/>
    </xf>
    <xf numFmtId="0" fontId="0" fillId="0" borderId="13" xfId="0" applyBorder="1" applyAlignment="1" applyProtection="1">
      <alignment horizontal="center"/>
    </xf>
    <xf numFmtId="2" fontId="11" fillId="0" borderId="7" xfId="0" applyNumberFormat="1" applyFont="1" applyBorder="1" applyAlignment="1" applyProtection="1"/>
    <xf numFmtId="0" fontId="32" fillId="6" borderId="7" xfId="0" applyNumberFormat="1" applyFont="1" applyFill="1" applyBorder="1" applyAlignment="1" applyProtection="1">
      <alignment horizontal="center"/>
    </xf>
    <xf numFmtId="0" fontId="0" fillId="0" borderId="8" xfId="0" applyNumberFormat="1" applyBorder="1" applyAlignment="1" applyProtection="1">
      <alignment horizontal="center"/>
    </xf>
    <xf numFmtId="9" fontId="12" fillId="0" borderId="9" xfId="0" applyNumberFormat="1" applyFont="1" applyBorder="1" applyAlignment="1" applyProtection="1"/>
    <xf numFmtId="2" fontId="31" fillId="0" borderId="0" xfId="0" applyNumberFormat="1" applyFont="1" applyFill="1" applyBorder="1" applyAlignment="1" applyProtection="1"/>
    <xf numFmtId="9" fontId="12" fillId="0" borderId="0" xfId="0" applyNumberFormat="1" applyFont="1" applyFill="1" applyBorder="1" applyAlignment="1" applyProtection="1"/>
    <xf numFmtId="2" fontId="11" fillId="0" borderId="11" xfId="0" applyNumberFormat="1" applyFont="1" applyBorder="1" applyAlignment="1" applyProtection="1"/>
    <xf numFmtId="0" fontId="32" fillId="6" borderId="11" xfId="0" applyNumberFormat="1" applyFont="1" applyFill="1" applyBorder="1" applyAlignment="1" applyProtection="1">
      <alignment horizontal="center"/>
    </xf>
    <xf numFmtId="0" fontId="0" fillId="0" borderId="0" xfId="0" applyNumberFormat="1" applyBorder="1" applyAlignment="1" applyProtection="1">
      <alignment horizontal="center"/>
    </xf>
    <xf numFmtId="2" fontId="0" fillId="0" borderId="0" xfId="0" applyNumberFormat="1" applyBorder="1" applyAlignment="1" applyProtection="1">
      <alignment horizontal="center"/>
    </xf>
    <xf numFmtId="164" fontId="0" fillId="0" borderId="0" xfId="0" applyNumberFormat="1" applyBorder="1" applyAlignment="1" applyProtection="1">
      <alignment horizontal="center"/>
    </xf>
    <xf numFmtId="9" fontId="12" fillId="0" borderId="13" xfId="0" applyNumberFormat="1" applyFont="1" applyBorder="1" applyAlignment="1" applyProtection="1"/>
    <xf numFmtId="2" fontId="11" fillId="0" borderId="0" xfId="0" applyNumberFormat="1" applyFont="1" applyBorder="1" applyAlignment="1" applyProtection="1"/>
    <xf numFmtId="2" fontId="11" fillId="0" borderId="14" xfId="0" applyNumberFormat="1" applyFont="1" applyBorder="1" applyAlignment="1" applyProtection="1"/>
    <xf numFmtId="2" fontId="11" fillId="0" borderId="17" xfId="0" applyNumberFormat="1" applyFont="1" applyBorder="1" applyAlignment="1" applyProtection="1"/>
    <xf numFmtId="2" fontId="12" fillId="0" borderId="16" xfId="0" applyNumberFormat="1" applyFont="1" applyBorder="1" applyAlignment="1" applyProtection="1">
      <alignment horizontal="right"/>
    </xf>
    <xf numFmtId="2" fontId="12" fillId="0" borderId="0" xfId="0" applyNumberFormat="1" applyFont="1" applyFill="1" applyBorder="1" applyAlignment="1" applyProtection="1">
      <alignment horizontal="right"/>
    </xf>
    <xf numFmtId="2" fontId="12" fillId="0" borderId="0" xfId="0" applyNumberFormat="1" applyFont="1" applyBorder="1" applyAlignment="1" applyProtection="1">
      <alignment horizontal="right"/>
    </xf>
    <xf numFmtId="0" fontId="2" fillId="0" borderId="19" xfId="0" applyFont="1" applyBorder="1" applyProtection="1"/>
    <xf numFmtId="2" fontId="10" fillId="0" borderId="19" xfId="0" applyNumberFormat="1" applyFont="1" applyFill="1" applyBorder="1" applyAlignment="1" applyProtection="1">
      <alignment horizontal="right"/>
    </xf>
    <xf numFmtId="9" fontId="10" fillId="0" borderId="19" xfId="0" applyNumberFormat="1" applyFont="1" applyBorder="1" applyAlignment="1" applyProtection="1"/>
    <xf numFmtId="2" fontId="10" fillId="0" borderId="0" xfId="0" applyNumberFormat="1" applyFont="1" applyFill="1" applyBorder="1" applyAlignment="1" applyProtection="1">
      <alignment horizontal="right"/>
    </xf>
    <xf numFmtId="2" fontId="0" fillId="5" borderId="0" xfId="0" applyNumberFormat="1" applyFill="1" applyBorder="1" applyAlignment="1" applyProtection="1">
      <alignment horizontal="center"/>
    </xf>
    <xf numFmtId="1" fontId="0" fillId="5" borderId="0" xfId="0" applyNumberFormat="1" applyFill="1" applyProtection="1"/>
    <xf numFmtId="2" fontId="0" fillId="4" borderId="0" xfId="0" applyNumberFormat="1" applyFill="1" applyBorder="1" applyAlignment="1" applyProtection="1">
      <alignment horizontal="center"/>
    </xf>
    <xf numFmtId="2" fontId="0" fillId="6" borderId="0" xfId="0" applyNumberFormat="1" applyFill="1" applyBorder="1" applyAlignment="1" applyProtection="1">
      <alignment horizontal="center"/>
    </xf>
    <xf numFmtId="0" fontId="0" fillId="0" borderId="10" xfId="0" applyBorder="1" applyProtection="1"/>
    <xf numFmtId="0" fontId="0" fillId="0" borderId="12" xfId="0" applyBorder="1" applyProtection="1"/>
    <xf numFmtId="0" fontId="12" fillId="0" borderId="0" xfId="0" applyFont="1" applyProtection="1"/>
    <xf numFmtId="9" fontId="10" fillId="0" borderId="20" xfId="0" applyNumberFormat="1" applyFont="1" applyBorder="1" applyAlignment="1" applyProtection="1"/>
    <xf numFmtId="2" fontId="14" fillId="0" borderId="0" xfId="0" applyNumberFormat="1" applyFont="1" applyBorder="1" applyProtection="1"/>
    <xf numFmtId="2" fontId="0" fillId="0" borderId="0" xfId="0" applyNumberFormat="1" applyProtection="1"/>
    <xf numFmtId="0" fontId="11" fillId="0" borderId="0" xfId="0" applyFont="1" applyProtection="1"/>
    <xf numFmtId="0" fontId="11" fillId="0" borderId="0" xfId="0" applyFont="1" applyAlignment="1" applyProtection="1">
      <alignment horizontal="center"/>
    </xf>
    <xf numFmtId="0" fontId="0" fillId="0" borderId="14" xfId="0" applyBorder="1" applyAlignment="1" applyProtection="1">
      <alignment horizontal="center" vertical="center" wrapText="1"/>
    </xf>
    <xf numFmtId="0" fontId="0" fillId="0" borderId="15" xfId="0" applyBorder="1" applyAlignment="1" applyProtection="1">
      <alignment horizontal="center" vertical="center" wrapText="1"/>
    </xf>
    <xf numFmtId="0" fontId="0" fillId="0" borderId="2" xfId="0" applyBorder="1" applyAlignment="1" applyProtection="1">
      <alignment horizontal="center"/>
    </xf>
    <xf numFmtId="0" fontId="0" fillId="0" borderId="4" xfId="0" applyBorder="1" applyAlignment="1" applyProtection="1">
      <alignment horizontal="center"/>
    </xf>
    <xf numFmtId="0" fontId="0" fillId="7" borderId="1" xfId="0" applyFill="1" applyBorder="1" applyAlignment="1" applyProtection="1">
      <alignment horizontal="center"/>
    </xf>
    <xf numFmtId="0" fontId="3" fillId="0" borderId="7" xfId="0" applyFont="1" applyBorder="1" applyAlignment="1" applyProtection="1">
      <alignment horizontal="center"/>
    </xf>
    <xf numFmtId="0" fontId="3" fillId="0" borderId="8" xfId="0" applyFont="1" applyBorder="1" applyAlignment="1" applyProtection="1">
      <alignment horizontal="center"/>
    </xf>
    <xf numFmtId="0" fontId="3" fillId="0" borderId="9" xfId="0" applyFont="1" applyBorder="1" applyAlignment="1" applyProtection="1">
      <alignment horizontal="center"/>
    </xf>
    <xf numFmtId="0" fontId="0" fillId="0" borderId="11" xfId="0" applyBorder="1" applyAlignment="1" applyProtection="1">
      <alignment horizontal="left" vertical="center" wrapText="1"/>
    </xf>
    <xf numFmtId="0" fontId="0" fillId="0" borderId="0" xfId="0" applyBorder="1" applyAlignment="1" applyProtection="1">
      <alignment horizontal="center" vertical="center"/>
    </xf>
    <xf numFmtId="0" fontId="6" fillId="0" borderId="12" xfId="0" applyFont="1" applyBorder="1" applyAlignment="1" applyProtection="1">
      <alignment horizontal="center" vertical="center"/>
    </xf>
    <xf numFmtId="0" fontId="0" fillId="0" borderId="11" xfId="0" applyBorder="1" applyAlignment="1" applyProtection="1">
      <alignment horizontal="center" vertical="center"/>
    </xf>
    <xf numFmtId="0" fontId="0" fillId="0" borderId="13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left" vertical="center" wrapText="1"/>
    </xf>
    <xf numFmtId="0" fontId="0" fillId="0" borderId="11" xfId="0" applyFill="1" applyBorder="1" applyAlignment="1" applyProtection="1">
      <alignment horizontal="center" vertical="center"/>
    </xf>
    <xf numFmtId="0" fontId="0" fillId="0" borderId="13" xfId="0" applyFill="1" applyBorder="1" applyAlignment="1" applyProtection="1">
      <alignment horizontal="center" vertical="center"/>
    </xf>
    <xf numFmtId="0" fontId="0" fillId="7" borderId="10" xfId="0" applyFill="1" applyBorder="1" applyAlignment="1" applyProtection="1">
      <alignment horizontal="center" vertical="center"/>
    </xf>
    <xf numFmtId="0" fontId="0" fillId="0" borderId="7" xfId="0" applyFill="1" applyBorder="1" applyAlignment="1" applyProtection="1">
      <alignment horizontal="center" vertical="center"/>
    </xf>
    <xf numFmtId="0" fontId="0" fillId="0" borderId="8" xfId="0" applyFill="1" applyBorder="1" applyAlignment="1" applyProtection="1">
      <alignment horizontal="center" vertical="center"/>
    </xf>
    <xf numFmtId="0" fontId="0" fillId="0" borderId="9" xfId="0" applyFill="1" applyBorder="1" applyAlignment="1" applyProtection="1">
      <alignment horizontal="center" vertical="center"/>
    </xf>
    <xf numFmtId="0" fontId="3" fillId="0" borderId="7" xfId="0" applyFont="1" applyFill="1" applyBorder="1" applyAlignment="1" applyProtection="1">
      <alignment horizontal="center" vertical="center"/>
    </xf>
    <xf numFmtId="0" fontId="3" fillId="0" borderId="8" xfId="0" applyFont="1" applyFill="1" applyBorder="1" applyAlignment="1" applyProtection="1">
      <alignment horizontal="center" vertical="center"/>
    </xf>
    <xf numFmtId="0" fontId="3" fillId="0" borderId="9" xfId="0" applyFont="1" applyFill="1" applyBorder="1" applyAlignment="1" applyProtection="1">
      <alignment horizontal="center" vertical="center"/>
    </xf>
    <xf numFmtId="0" fontId="0" fillId="7" borderId="12" xfId="0" applyFill="1" applyBorder="1" applyAlignment="1" applyProtection="1">
      <alignment horizontal="center" vertical="center"/>
    </xf>
    <xf numFmtId="0" fontId="3" fillId="0" borderId="11" xfId="0" applyFont="1" applyFill="1" applyBorder="1" applyAlignment="1" applyProtection="1">
      <alignment horizontal="center" vertical="center"/>
    </xf>
    <xf numFmtId="0" fontId="3" fillId="0" borderId="13" xfId="0" applyFont="1" applyFill="1" applyBorder="1" applyAlignment="1" applyProtection="1">
      <alignment horizontal="center" vertical="center"/>
    </xf>
    <xf numFmtId="0" fontId="0" fillId="0" borderId="14" xfId="0" applyBorder="1" applyAlignment="1" applyProtection="1">
      <alignment horizontal="left" vertical="center" wrapText="1"/>
    </xf>
    <xf numFmtId="0" fontId="0" fillId="0" borderId="17" xfId="0" applyBorder="1" applyAlignment="1" applyProtection="1">
      <alignment horizontal="center" vertical="center"/>
    </xf>
    <xf numFmtId="0" fontId="6" fillId="0" borderId="15" xfId="0" applyFont="1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 vertical="center"/>
    </xf>
    <xf numFmtId="0" fontId="0" fillId="0" borderId="16" xfId="0" applyBorder="1" applyAlignment="1" applyProtection="1">
      <alignment horizontal="center" vertical="center"/>
    </xf>
    <xf numFmtId="0" fontId="0" fillId="0" borderId="14" xfId="0" applyFill="1" applyBorder="1" applyAlignment="1" applyProtection="1">
      <alignment horizontal="center" vertical="center"/>
    </xf>
    <xf numFmtId="0" fontId="0" fillId="0" borderId="16" xfId="0" applyFill="1" applyBorder="1" applyAlignment="1" applyProtection="1">
      <alignment horizontal="center" vertical="center"/>
    </xf>
    <xf numFmtId="0" fontId="0" fillId="7" borderId="15" xfId="0" applyFill="1" applyBorder="1" applyAlignment="1" applyProtection="1">
      <alignment horizontal="center" vertical="center"/>
    </xf>
    <xf numFmtId="0" fontId="0" fillId="0" borderId="17" xfId="0" applyFill="1" applyBorder="1" applyAlignment="1" applyProtection="1">
      <alignment horizontal="center" vertical="center"/>
    </xf>
    <xf numFmtId="0" fontId="3" fillId="0" borderId="14" xfId="0" applyFont="1" applyFill="1" applyBorder="1" applyAlignment="1" applyProtection="1">
      <alignment horizontal="center" vertical="center"/>
    </xf>
    <xf numFmtId="0" fontId="3" fillId="0" borderId="17" xfId="0" applyFont="1" applyFill="1" applyBorder="1" applyAlignment="1" applyProtection="1">
      <alignment horizontal="center" vertical="center"/>
    </xf>
    <xf numFmtId="0" fontId="3" fillId="0" borderId="16" xfId="0" applyFont="1" applyFill="1" applyBorder="1" applyAlignment="1" applyProtection="1">
      <alignment horizontal="center" vertical="center"/>
    </xf>
    <xf numFmtId="0" fontId="0" fillId="0" borderId="0" xfId="0" applyBorder="1" applyAlignment="1" applyProtection="1"/>
    <xf numFmtId="0" fontId="0" fillId="0" borderId="11" xfId="0" applyFill="1" applyBorder="1" applyAlignment="1" applyProtection="1">
      <alignment horizontal="center" vertical="center" wrapText="1"/>
    </xf>
    <xf numFmtId="9" fontId="0" fillId="0" borderId="11" xfId="0" applyNumberFormat="1" applyBorder="1" applyProtection="1"/>
    <xf numFmtId="1" fontId="0" fillId="0" borderId="13" xfId="0" applyNumberFormat="1" applyBorder="1" applyProtection="1"/>
    <xf numFmtId="0" fontId="17" fillId="0" borderId="0" xfId="0" applyFont="1" applyAlignment="1" applyProtection="1">
      <alignment horizontal="center"/>
    </xf>
    <xf numFmtId="0" fontId="6" fillId="0" borderId="14" xfId="0" applyFont="1" applyBorder="1" applyAlignment="1" applyProtection="1">
      <alignment horizontal="center" vertical="center"/>
    </xf>
    <xf numFmtId="0" fontId="0" fillId="0" borderId="14" xfId="0" applyFill="1" applyBorder="1" applyAlignment="1" applyProtection="1">
      <alignment horizontal="center" vertical="center" wrapText="1"/>
    </xf>
    <xf numFmtId="9" fontId="0" fillId="0" borderId="14" xfId="0" applyNumberFormat="1" applyBorder="1" applyProtection="1"/>
    <xf numFmtId="1" fontId="0" fillId="0" borderId="16" xfId="0" applyNumberFormat="1" applyBorder="1" applyProtection="1"/>
    <xf numFmtId="0" fontId="20" fillId="0" borderId="0" xfId="0" applyFont="1" applyProtection="1"/>
    <xf numFmtId="0" fontId="3" fillId="0" borderId="0" xfId="0" applyFont="1" applyAlignment="1" applyProtection="1">
      <alignment horizontal="center"/>
    </xf>
    <xf numFmtId="0" fontId="21" fillId="0" borderId="0" xfId="0" applyFont="1" applyAlignment="1" applyProtection="1">
      <alignment horizontal="center"/>
    </xf>
    <xf numFmtId="0" fontId="0" fillId="0" borderId="1" xfId="0" applyBorder="1" applyProtection="1"/>
    <xf numFmtId="0" fontId="3" fillId="0" borderId="2" xfId="0" applyFont="1" applyBorder="1" applyAlignment="1" applyProtection="1">
      <alignment horizontal="center"/>
    </xf>
    <xf numFmtId="0" fontId="3" fillId="0" borderId="3" xfId="0" applyFont="1" applyBorder="1" applyAlignment="1" applyProtection="1">
      <alignment horizontal="center"/>
    </xf>
    <xf numFmtId="0" fontId="0" fillId="0" borderId="3" xfId="0" applyBorder="1" applyAlignment="1" applyProtection="1">
      <alignment horizontal="center"/>
    </xf>
    <xf numFmtId="0" fontId="0" fillId="0" borderId="15" xfId="0" applyBorder="1" applyProtection="1"/>
    <xf numFmtId="0" fontId="3" fillId="0" borderId="14" xfId="0" applyFont="1" applyBorder="1" applyAlignment="1" applyProtection="1">
      <alignment horizontal="center"/>
    </xf>
    <xf numFmtId="0" fontId="3" fillId="0" borderId="17" xfId="0" applyFont="1" applyBorder="1" applyAlignment="1" applyProtection="1">
      <alignment horizontal="center"/>
    </xf>
    <xf numFmtId="0" fontId="0" fillId="0" borderId="17" xfId="0" applyBorder="1" applyAlignment="1" applyProtection="1">
      <alignment horizontal="center"/>
    </xf>
    <xf numFmtId="0" fontId="0" fillId="0" borderId="16" xfId="0" applyBorder="1" applyAlignment="1" applyProtection="1">
      <alignment horizontal="center"/>
    </xf>
    <xf numFmtId="0" fontId="0" fillId="4" borderId="0" xfId="0" applyFill="1" applyProtection="1"/>
    <xf numFmtId="0" fontId="0" fillId="0" borderId="11" xfId="0" applyFill="1" applyBorder="1" applyAlignment="1" applyProtection="1">
      <alignment horizontal="left" vertical="center" wrapText="1"/>
    </xf>
    <xf numFmtId="0" fontId="0" fillId="0" borderId="12" xfId="0" applyFill="1" applyBorder="1" applyAlignment="1" applyProtection="1">
      <alignment horizontal="center" vertical="center"/>
    </xf>
    <xf numFmtId="0" fontId="0" fillId="0" borderId="14" xfId="0" applyFill="1" applyBorder="1" applyAlignment="1" applyProtection="1">
      <alignment horizontal="left" vertical="center" wrapText="1"/>
    </xf>
    <xf numFmtId="0" fontId="0" fillId="0" borderId="15" xfId="0" applyFill="1" applyBorder="1" applyAlignment="1" applyProtection="1">
      <alignment horizontal="center" vertical="center"/>
    </xf>
    <xf numFmtId="0" fontId="0" fillId="7" borderId="0" xfId="0" applyFill="1" applyProtection="1"/>
    <xf numFmtId="164" fontId="0" fillId="7" borderId="1" xfId="0" applyNumberFormat="1" applyFill="1" applyBorder="1" applyAlignment="1" applyProtection="1">
      <alignment horizontal="center"/>
    </xf>
    <xf numFmtId="0" fontId="0" fillId="7" borderId="9" xfId="0" applyFill="1" applyBorder="1" applyAlignment="1" applyProtection="1">
      <alignment horizontal="center" vertical="center"/>
    </xf>
    <xf numFmtId="0" fontId="0" fillId="7" borderId="13" xfId="0" applyFill="1" applyBorder="1" applyAlignment="1" applyProtection="1">
      <alignment horizontal="center" vertical="center"/>
    </xf>
    <xf numFmtId="0" fontId="0" fillId="7" borderId="16" xfId="0" applyFill="1" applyBorder="1" applyAlignment="1" applyProtection="1">
      <alignment horizontal="center" vertical="center"/>
    </xf>
    <xf numFmtId="0" fontId="0" fillId="0" borderId="14" xfId="0" applyBorder="1" applyAlignment="1" applyProtection="1">
      <alignment horizontal="center"/>
    </xf>
    <xf numFmtId="2" fontId="0" fillId="7" borderId="0" xfId="0" applyNumberFormat="1" applyFill="1" applyProtection="1"/>
    <xf numFmtId="0" fontId="0" fillId="0" borderId="4" xfId="0" applyBorder="1" applyProtection="1"/>
    <xf numFmtId="2" fontId="0" fillId="7" borderId="1" xfId="0" applyNumberFormat="1" applyFill="1" applyBorder="1" applyAlignment="1" applyProtection="1">
      <alignment horizontal="center"/>
    </xf>
    <xf numFmtId="2" fontId="0" fillId="0" borderId="0" xfId="0" applyNumberFormat="1" applyFill="1" applyProtection="1"/>
    <xf numFmtId="167" fontId="0" fillId="0" borderId="0" xfId="0" applyNumberFormat="1" applyProtection="1"/>
    <xf numFmtId="164" fontId="2" fillId="0" borderId="0" xfId="0" applyNumberFormat="1" applyFont="1" applyProtection="1"/>
    <xf numFmtId="0" fontId="9" fillId="0" borderId="11" xfId="0" applyFont="1" applyBorder="1" applyAlignment="1" applyProtection="1">
      <alignment horizontal="left" vertical="center"/>
    </xf>
    <xf numFmtId="0" fontId="36" fillId="0" borderId="1" xfId="0" applyFont="1" applyBorder="1" applyAlignment="1" applyProtection="1">
      <alignment horizontal="right" vertical="center" wrapText="1"/>
    </xf>
    <xf numFmtId="0" fontId="35" fillId="0" borderId="0" xfId="0" applyFont="1" applyFill="1" applyBorder="1" applyAlignment="1" applyProtection="1">
      <alignment horizontal="center"/>
    </xf>
    <xf numFmtId="0" fontId="36" fillId="0" borderId="0" xfId="0" applyFont="1" applyFill="1" applyBorder="1" applyAlignment="1" applyProtection="1">
      <alignment horizontal="center" vertical="center"/>
    </xf>
    <xf numFmtId="0" fontId="36" fillId="0" borderId="0" xfId="0" applyFont="1" applyFill="1" applyBorder="1" applyAlignment="1" applyProtection="1">
      <alignment horizontal="center" vertical="center" wrapText="1"/>
    </xf>
    <xf numFmtId="0" fontId="37" fillId="0" borderId="21" xfId="0" applyFont="1" applyFill="1" applyBorder="1" applyAlignment="1" applyProtection="1">
      <alignment horizontal="center" vertical="center"/>
    </xf>
    <xf numFmtId="0" fontId="37" fillId="0" borderId="18" xfId="0" applyFont="1" applyFill="1" applyBorder="1" applyAlignment="1" applyProtection="1">
      <alignment horizontal="center" vertical="center"/>
    </xf>
    <xf numFmtId="0" fontId="37" fillId="0" borderId="6" xfId="0" applyFont="1" applyFill="1" applyBorder="1" applyAlignment="1" applyProtection="1">
      <alignment horizontal="center" vertical="center"/>
    </xf>
    <xf numFmtId="0" fontId="33" fillId="4" borderId="21" xfId="0" applyFont="1" applyFill="1" applyBorder="1" applyAlignment="1" applyProtection="1">
      <alignment horizontal="center" vertical="center" wrapText="1"/>
    </xf>
    <xf numFmtId="0" fontId="33" fillId="4" borderId="18" xfId="0" applyFont="1" applyFill="1" applyBorder="1" applyAlignment="1" applyProtection="1">
      <alignment horizontal="center" vertical="center" wrapText="1"/>
    </xf>
    <xf numFmtId="0" fontId="33" fillId="4" borderId="6" xfId="0" applyFont="1" applyFill="1" applyBorder="1" applyAlignment="1" applyProtection="1">
      <alignment horizontal="center" vertical="center" wrapText="1"/>
    </xf>
    <xf numFmtId="0" fontId="39" fillId="0" borderId="3" xfId="0" applyFont="1" applyBorder="1" applyAlignment="1" applyProtection="1">
      <alignment horizontal="left" vertical="center"/>
      <protection locked="0"/>
    </xf>
    <xf numFmtId="0" fontId="39" fillId="0" borderId="4" xfId="0" applyFont="1" applyBorder="1" applyAlignment="1" applyProtection="1">
      <alignment horizontal="left" vertical="center"/>
      <protection locked="0"/>
    </xf>
    <xf numFmtId="0" fontId="33" fillId="4" borderId="5" xfId="0" applyFont="1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 vertical="center" wrapText="1"/>
    </xf>
    <xf numFmtId="0" fontId="0" fillId="0" borderId="0" xfId="0" applyFill="1" applyBorder="1" applyAlignment="1" applyProtection="1">
      <alignment horizontal="center"/>
    </xf>
    <xf numFmtId="0" fontId="37" fillId="0" borderId="21" xfId="0" applyFont="1" applyBorder="1" applyAlignment="1" applyProtection="1">
      <alignment horizontal="center" vertical="center"/>
    </xf>
    <xf numFmtId="0" fontId="37" fillId="0" borderId="18" xfId="0" applyFont="1" applyBorder="1" applyAlignment="1" applyProtection="1">
      <alignment horizontal="center" vertical="center"/>
    </xf>
    <xf numFmtId="0" fontId="37" fillId="0" borderId="6" xfId="0" applyFont="1" applyBorder="1" applyAlignment="1" applyProtection="1">
      <alignment horizontal="center" vertical="center"/>
    </xf>
    <xf numFmtId="0" fontId="35" fillId="0" borderId="2" xfId="0" applyFont="1" applyBorder="1" applyAlignment="1" applyProtection="1">
      <alignment horizontal="center" vertical="center"/>
    </xf>
    <xf numFmtId="0" fontId="35" fillId="0" borderId="4" xfId="0" applyFont="1" applyBorder="1" applyAlignment="1" applyProtection="1">
      <alignment horizontal="center" vertical="center"/>
    </xf>
    <xf numFmtId="0" fontId="35" fillId="0" borderId="1" xfId="0" applyFont="1" applyBorder="1" applyAlignment="1" applyProtection="1">
      <alignment horizontal="center" vertical="center"/>
    </xf>
    <xf numFmtId="0" fontId="36" fillId="0" borderId="1" xfId="0" applyFont="1" applyBorder="1" applyAlignment="1" applyProtection="1">
      <alignment horizontal="right" vertical="center"/>
    </xf>
    <xf numFmtId="0" fontId="35" fillId="0" borderId="3" xfId="0" applyFont="1" applyBorder="1" applyAlignment="1" applyProtection="1">
      <alignment horizontal="center" vertical="center"/>
    </xf>
    <xf numFmtId="0" fontId="37" fillId="0" borderId="0" xfId="0" applyFont="1" applyFill="1" applyBorder="1" applyAlignment="1" applyProtection="1">
      <alignment horizontal="center" vertical="center"/>
    </xf>
    <xf numFmtId="0" fontId="35" fillId="0" borderId="0" xfId="0" applyFont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 wrapText="1"/>
    </xf>
    <xf numFmtId="0" fontId="0" fillId="0" borderId="11" xfId="0" applyBorder="1" applyAlignment="1" applyProtection="1">
      <alignment horizontal="center" vertical="center" wrapText="1"/>
    </xf>
    <xf numFmtId="0" fontId="0" fillId="0" borderId="8" xfId="0" applyBorder="1" applyAlignment="1" applyProtection="1">
      <alignment horizontal="center" vertical="center" wrapText="1"/>
    </xf>
    <xf numFmtId="0" fontId="0" fillId="0" borderId="0" xfId="0" applyBorder="1" applyAlignment="1" applyProtection="1">
      <alignment horizontal="center" vertical="center" wrapText="1"/>
    </xf>
    <xf numFmtId="0" fontId="0" fillId="0" borderId="10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9" xfId="0" applyBorder="1" applyAlignment="1" applyProtection="1">
      <alignment horizontal="center" vertical="center" wrapText="1"/>
    </xf>
    <xf numFmtId="0" fontId="0" fillId="0" borderId="17" xfId="0" applyBorder="1" applyAlignment="1" applyProtection="1">
      <alignment horizontal="center" vertical="center" wrapText="1"/>
    </xf>
    <xf numFmtId="0" fontId="0" fillId="0" borderId="14" xfId="0" applyBorder="1" applyAlignment="1" applyProtection="1">
      <alignment horizontal="center" vertical="center" wrapText="1"/>
    </xf>
    <xf numFmtId="0" fontId="0" fillId="0" borderId="16" xfId="0" applyBorder="1" applyAlignment="1" applyProtection="1">
      <alignment horizontal="center" vertical="center" wrapText="1"/>
    </xf>
    <xf numFmtId="0" fontId="0" fillId="0" borderId="11" xfId="0" applyBorder="1" applyAlignment="1" applyProtection="1">
      <alignment horizontal="center"/>
    </xf>
    <xf numFmtId="0" fontId="0" fillId="0" borderId="13" xfId="0" applyBorder="1" applyAlignment="1" applyProtection="1">
      <alignment horizontal="center"/>
    </xf>
    <xf numFmtId="0" fontId="2" fillId="4" borderId="14" xfId="0" applyFont="1" applyFill="1" applyBorder="1" applyAlignment="1" applyProtection="1">
      <alignment horizontal="center"/>
    </xf>
    <xf numFmtId="0" fontId="2" fillId="4" borderId="16" xfId="0" applyFont="1" applyFill="1" applyBorder="1" applyAlignment="1" applyProtection="1">
      <alignment horizontal="center"/>
    </xf>
    <xf numFmtId="0" fontId="2" fillId="4" borderId="7" xfId="0" applyFont="1" applyFill="1" applyBorder="1" applyAlignment="1" applyProtection="1">
      <alignment horizontal="center"/>
    </xf>
    <xf numFmtId="0" fontId="2" fillId="4" borderId="9" xfId="0" applyFont="1" applyFill="1" applyBorder="1" applyAlignment="1" applyProtection="1">
      <alignment horizontal="center"/>
    </xf>
    <xf numFmtId="0" fontId="2" fillId="7" borderId="7" xfId="0" applyFont="1" applyFill="1" applyBorder="1" applyAlignment="1" applyProtection="1">
      <alignment horizontal="center"/>
    </xf>
    <xf numFmtId="0" fontId="2" fillId="7" borderId="9" xfId="0" applyFont="1" applyFill="1" applyBorder="1" applyAlignment="1" applyProtection="1">
      <alignment horizontal="center"/>
    </xf>
    <xf numFmtId="0" fontId="0" fillId="0" borderId="11" xfId="0" applyFill="1" applyBorder="1" applyAlignment="1" applyProtection="1">
      <alignment horizontal="center" vertical="center" wrapText="1"/>
    </xf>
    <xf numFmtId="0" fontId="0" fillId="0" borderId="13" xfId="0" applyFill="1" applyBorder="1" applyAlignment="1" applyProtection="1">
      <alignment horizontal="center" vertical="center" wrapText="1"/>
    </xf>
    <xf numFmtId="0" fontId="2" fillId="4" borderId="11" xfId="0" applyFont="1" applyFill="1" applyBorder="1" applyAlignment="1" applyProtection="1">
      <alignment horizontal="center"/>
    </xf>
    <xf numFmtId="0" fontId="2" fillId="4" borderId="13" xfId="0" applyFont="1" applyFill="1" applyBorder="1" applyAlignment="1" applyProtection="1">
      <alignment horizontal="center"/>
    </xf>
    <xf numFmtId="0" fontId="0" fillId="0" borderId="0" xfId="0" applyAlignment="1" applyProtection="1">
      <alignment horizontal="center"/>
    </xf>
    <xf numFmtId="1" fontId="0" fillId="0" borderId="11" xfId="0" applyNumberFormat="1" applyFill="1" applyBorder="1" applyAlignment="1" applyProtection="1">
      <alignment horizontal="center" vertical="center" wrapText="1"/>
    </xf>
    <xf numFmtId="1" fontId="0" fillId="0" borderId="13" xfId="0" applyNumberFormat="1" applyFill="1" applyBorder="1" applyAlignment="1" applyProtection="1">
      <alignment horizontal="center" vertical="center" wrapText="1"/>
    </xf>
    <xf numFmtId="0" fontId="0" fillId="0" borderId="14" xfId="0" applyFill="1" applyBorder="1" applyAlignment="1" applyProtection="1">
      <alignment horizontal="center" vertical="center" wrapText="1"/>
    </xf>
    <xf numFmtId="0" fontId="0" fillId="0" borderId="16" xfId="0" applyFill="1" applyBorder="1" applyAlignment="1" applyProtection="1">
      <alignment horizontal="center" vertical="center" wrapText="1"/>
    </xf>
    <xf numFmtId="1" fontId="0" fillId="0" borderId="14" xfId="0" applyNumberFormat="1" applyFill="1" applyBorder="1" applyAlignment="1" applyProtection="1">
      <alignment horizontal="center" vertical="center" wrapText="1"/>
    </xf>
    <xf numFmtId="1" fontId="0" fillId="0" borderId="16" xfId="0" applyNumberForma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571500</xdr:colOff>
      <xdr:row>100</xdr:row>
      <xdr:rowOff>1</xdr:rowOff>
    </xdr:from>
    <xdr:to>
      <xdr:col>9</xdr:col>
      <xdr:colOff>0</xdr:colOff>
      <xdr:row>100</xdr:row>
      <xdr:rowOff>1</xdr:rowOff>
    </xdr:to>
    <xdr:sp macro="" textlink="">
      <xdr:nvSpPr>
        <xdr:cNvPr id="3" name="ZoneTexte 2"/>
        <xdr:cNvSpPr txBox="1"/>
      </xdr:nvSpPr>
      <xdr:spPr>
        <a:xfrm>
          <a:off x="3562350" y="13639801"/>
          <a:ext cx="2066925" cy="800100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rtlCol="0" anchor="t"/>
        <a:lstStyle/>
        <a:p>
          <a:endParaRPr lang="fr-FR"/>
        </a:p>
      </xdr:txBody>
    </xdr:sp>
    <xdr:clientData/>
  </xdr:twoCellAnchor>
  <xdr:twoCellAnchor>
    <xdr:from>
      <xdr:col>3</xdr:col>
      <xdr:colOff>952500</xdr:colOff>
      <xdr:row>24</xdr:row>
      <xdr:rowOff>9525</xdr:rowOff>
    </xdr:from>
    <xdr:to>
      <xdr:col>4</xdr:col>
      <xdr:colOff>0</xdr:colOff>
      <xdr:row>25</xdr:row>
      <xdr:rowOff>9525</xdr:rowOff>
    </xdr:to>
    <xdr:sp macro="" textlink="">
      <xdr:nvSpPr>
        <xdr:cNvPr id="1043" name="Line 19"/>
        <xdr:cNvSpPr>
          <a:spLocks noChangeShapeType="1"/>
        </xdr:cNvSpPr>
      </xdr:nvSpPr>
      <xdr:spPr bwMode="auto">
        <a:xfrm flipH="1">
          <a:off x="4410075" y="4857750"/>
          <a:ext cx="11430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24</xdr:row>
      <xdr:rowOff>9525</xdr:rowOff>
    </xdr:from>
    <xdr:to>
      <xdr:col>4</xdr:col>
      <xdr:colOff>104775</xdr:colOff>
      <xdr:row>25</xdr:row>
      <xdr:rowOff>9525</xdr:rowOff>
    </xdr:to>
    <xdr:sp macro="" textlink="">
      <xdr:nvSpPr>
        <xdr:cNvPr id="1044" name="Line 20"/>
        <xdr:cNvSpPr>
          <a:spLocks noChangeShapeType="1"/>
        </xdr:cNvSpPr>
      </xdr:nvSpPr>
      <xdr:spPr bwMode="auto">
        <a:xfrm>
          <a:off x="4524375" y="4857750"/>
          <a:ext cx="104775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942975</xdr:colOff>
      <xdr:row>25</xdr:row>
      <xdr:rowOff>0</xdr:rowOff>
    </xdr:from>
    <xdr:to>
      <xdr:col>4</xdr:col>
      <xdr:colOff>85725</xdr:colOff>
      <xdr:row>25</xdr:row>
      <xdr:rowOff>0</xdr:rowOff>
    </xdr:to>
    <xdr:sp macro="" textlink="">
      <xdr:nvSpPr>
        <xdr:cNvPr id="1045" name="Line 21"/>
        <xdr:cNvSpPr>
          <a:spLocks noChangeShapeType="1"/>
        </xdr:cNvSpPr>
      </xdr:nvSpPr>
      <xdr:spPr bwMode="auto">
        <a:xfrm>
          <a:off x="4400550" y="5038725"/>
          <a:ext cx="2095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676275</xdr:colOff>
      <xdr:row>24</xdr:row>
      <xdr:rowOff>0</xdr:rowOff>
    </xdr:from>
    <xdr:to>
      <xdr:col>8</xdr:col>
      <xdr:colOff>9525</xdr:colOff>
      <xdr:row>25</xdr:row>
      <xdr:rowOff>0</xdr:rowOff>
    </xdr:to>
    <xdr:sp macro="" textlink="">
      <xdr:nvSpPr>
        <xdr:cNvPr id="1046" name="Line 22"/>
        <xdr:cNvSpPr>
          <a:spLocks noChangeShapeType="1"/>
        </xdr:cNvSpPr>
      </xdr:nvSpPr>
      <xdr:spPr bwMode="auto">
        <a:xfrm flipH="1">
          <a:off x="7524750" y="4848225"/>
          <a:ext cx="9525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19050</xdr:colOff>
      <xdr:row>24</xdr:row>
      <xdr:rowOff>9525</xdr:rowOff>
    </xdr:from>
    <xdr:to>
      <xdr:col>8</xdr:col>
      <xdr:colOff>95250</xdr:colOff>
      <xdr:row>25</xdr:row>
      <xdr:rowOff>9525</xdr:rowOff>
    </xdr:to>
    <xdr:sp macro="" textlink="">
      <xdr:nvSpPr>
        <xdr:cNvPr id="1047" name="Line 23"/>
        <xdr:cNvSpPr>
          <a:spLocks noChangeShapeType="1"/>
        </xdr:cNvSpPr>
      </xdr:nvSpPr>
      <xdr:spPr bwMode="auto">
        <a:xfrm>
          <a:off x="7629525" y="4857750"/>
          <a:ext cx="7620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676275</xdr:colOff>
      <xdr:row>25</xdr:row>
      <xdr:rowOff>9525</xdr:rowOff>
    </xdr:from>
    <xdr:to>
      <xdr:col>8</xdr:col>
      <xdr:colOff>95250</xdr:colOff>
      <xdr:row>25</xdr:row>
      <xdr:rowOff>9525</xdr:rowOff>
    </xdr:to>
    <xdr:sp macro="" textlink="">
      <xdr:nvSpPr>
        <xdr:cNvPr id="1048" name="Line 24"/>
        <xdr:cNvSpPr>
          <a:spLocks noChangeShapeType="1"/>
        </xdr:cNvSpPr>
      </xdr:nvSpPr>
      <xdr:spPr bwMode="auto">
        <a:xfrm>
          <a:off x="7524750" y="5048250"/>
          <a:ext cx="1809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0</xdr:colOff>
      <xdr:row>22</xdr:row>
      <xdr:rowOff>9525</xdr:rowOff>
    </xdr:from>
    <xdr:to>
      <xdr:col>4</xdr:col>
      <xdr:colOff>0</xdr:colOff>
      <xdr:row>23</xdr:row>
      <xdr:rowOff>0</xdr:rowOff>
    </xdr:to>
    <xdr:sp macro="" textlink="">
      <xdr:nvSpPr>
        <xdr:cNvPr id="1050" name="Line 26"/>
        <xdr:cNvSpPr>
          <a:spLocks noChangeShapeType="1"/>
        </xdr:cNvSpPr>
      </xdr:nvSpPr>
      <xdr:spPr bwMode="auto">
        <a:xfrm>
          <a:off x="4524375" y="4476750"/>
          <a:ext cx="0" cy="1809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0</xdr:colOff>
      <xdr:row>22</xdr:row>
      <xdr:rowOff>9525</xdr:rowOff>
    </xdr:from>
    <xdr:to>
      <xdr:col>5</xdr:col>
      <xdr:colOff>0</xdr:colOff>
      <xdr:row>23</xdr:row>
      <xdr:rowOff>0</xdr:rowOff>
    </xdr:to>
    <xdr:sp macro="" textlink="">
      <xdr:nvSpPr>
        <xdr:cNvPr id="1051" name="Line 27"/>
        <xdr:cNvSpPr>
          <a:spLocks noChangeShapeType="1"/>
        </xdr:cNvSpPr>
      </xdr:nvSpPr>
      <xdr:spPr bwMode="auto">
        <a:xfrm>
          <a:off x="5324475" y="4476750"/>
          <a:ext cx="0" cy="1809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5</xdr:col>
      <xdr:colOff>742950</xdr:colOff>
      <xdr:row>22</xdr:row>
      <xdr:rowOff>9525</xdr:rowOff>
    </xdr:from>
    <xdr:to>
      <xdr:col>5</xdr:col>
      <xdr:colOff>752475</xdr:colOff>
      <xdr:row>23</xdr:row>
      <xdr:rowOff>0</xdr:rowOff>
    </xdr:to>
    <xdr:sp macro="" textlink="">
      <xdr:nvSpPr>
        <xdr:cNvPr id="1052" name="Line 28"/>
        <xdr:cNvSpPr>
          <a:spLocks noChangeShapeType="1"/>
        </xdr:cNvSpPr>
      </xdr:nvSpPr>
      <xdr:spPr bwMode="auto">
        <a:xfrm>
          <a:off x="6067425" y="4476750"/>
          <a:ext cx="9525" cy="1809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7</xdr:col>
      <xdr:colOff>0</xdr:colOff>
      <xdr:row>22</xdr:row>
      <xdr:rowOff>9525</xdr:rowOff>
    </xdr:from>
    <xdr:to>
      <xdr:col>7</xdr:col>
      <xdr:colOff>0</xdr:colOff>
      <xdr:row>23</xdr:row>
      <xdr:rowOff>9525</xdr:rowOff>
    </xdr:to>
    <xdr:sp macro="" textlink="">
      <xdr:nvSpPr>
        <xdr:cNvPr id="1053" name="Line 29"/>
        <xdr:cNvSpPr>
          <a:spLocks noChangeShapeType="1"/>
        </xdr:cNvSpPr>
      </xdr:nvSpPr>
      <xdr:spPr bwMode="auto">
        <a:xfrm>
          <a:off x="6848475" y="4476750"/>
          <a:ext cx="0" cy="1905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7</xdr:col>
      <xdr:colOff>752475</xdr:colOff>
      <xdr:row>22</xdr:row>
      <xdr:rowOff>19050</xdr:rowOff>
    </xdr:from>
    <xdr:to>
      <xdr:col>7</xdr:col>
      <xdr:colOff>752475</xdr:colOff>
      <xdr:row>23</xdr:row>
      <xdr:rowOff>0</xdr:rowOff>
    </xdr:to>
    <xdr:sp macro="" textlink="">
      <xdr:nvSpPr>
        <xdr:cNvPr id="1054" name="Line 30"/>
        <xdr:cNvSpPr>
          <a:spLocks noChangeShapeType="1"/>
        </xdr:cNvSpPr>
      </xdr:nvSpPr>
      <xdr:spPr bwMode="auto">
        <a:xfrm>
          <a:off x="7600950" y="4486275"/>
          <a:ext cx="0" cy="1714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</xdr:col>
      <xdr:colOff>0</xdr:colOff>
      <xdr:row>22</xdr:row>
      <xdr:rowOff>9525</xdr:rowOff>
    </xdr:from>
    <xdr:to>
      <xdr:col>7</xdr:col>
      <xdr:colOff>752475</xdr:colOff>
      <xdr:row>22</xdr:row>
      <xdr:rowOff>9525</xdr:rowOff>
    </xdr:to>
    <xdr:sp macro="" textlink="">
      <xdr:nvSpPr>
        <xdr:cNvPr id="1056" name="Line 32"/>
        <xdr:cNvSpPr>
          <a:spLocks noChangeShapeType="1"/>
        </xdr:cNvSpPr>
      </xdr:nvSpPr>
      <xdr:spPr bwMode="auto">
        <a:xfrm>
          <a:off x="4524375" y="4476750"/>
          <a:ext cx="3076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1066800</xdr:colOff>
      <xdr:row>22</xdr:row>
      <xdr:rowOff>161925</xdr:rowOff>
    </xdr:from>
    <xdr:to>
      <xdr:col>1</xdr:col>
      <xdr:colOff>1238250</xdr:colOff>
      <xdr:row>24</xdr:row>
      <xdr:rowOff>9525</xdr:rowOff>
    </xdr:to>
    <xdr:sp macro="" textlink="">
      <xdr:nvSpPr>
        <xdr:cNvPr id="1057" name="Rectangle 33"/>
        <xdr:cNvSpPr>
          <a:spLocks noChangeArrowheads="1"/>
        </xdr:cNvSpPr>
      </xdr:nvSpPr>
      <xdr:spPr bwMode="auto">
        <a:xfrm>
          <a:off x="1543050" y="4629150"/>
          <a:ext cx="171450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1828800</xdr:colOff>
      <xdr:row>22</xdr:row>
      <xdr:rowOff>152400</xdr:rowOff>
    </xdr:from>
    <xdr:to>
      <xdr:col>1</xdr:col>
      <xdr:colOff>2000250</xdr:colOff>
      <xdr:row>24</xdr:row>
      <xdr:rowOff>0</xdr:rowOff>
    </xdr:to>
    <xdr:sp macro="" textlink="">
      <xdr:nvSpPr>
        <xdr:cNvPr id="1059" name="Rectangle 35"/>
        <xdr:cNvSpPr>
          <a:spLocks noChangeArrowheads="1"/>
        </xdr:cNvSpPr>
      </xdr:nvSpPr>
      <xdr:spPr bwMode="auto">
        <a:xfrm>
          <a:off x="2305050" y="4619625"/>
          <a:ext cx="171450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2</xdr:col>
      <xdr:colOff>485775</xdr:colOff>
      <xdr:row>22</xdr:row>
      <xdr:rowOff>152400</xdr:rowOff>
    </xdr:from>
    <xdr:to>
      <xdr:col>2</xdr:col>
      <xdr:colOff>657225</xdr:colOff>
      <xdr:row>24</xdr:row>
      <xdr:rowOff>0</xdr:rowOff>
    </xdr:to>
    <xdr:sp macro="" textlink="">
      <xdr:nvSpPr>
        <xdr:cNvPr id="1060" name="Rectangle 36"/>
        <xdr:cNvSpPr>
          <a:spLocks noChangeArrowheads="1"/>
        </xdr:cNvSpPr>
      </xdr:nvSpPr>
      <xdr:spPr bwMode="auto">
        <a:xfrm>
          <a:off x="3086100" y="4619625"/>
          <a:ext cx="171450" cy="2286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781050</xdr:colOff>
      <xdr:row>22</xdr:row>
      <xdr:rowOff>123825</xdr:rowOff>
    </xdr:from>
    <xdr:to>
      <xdr:col>3</xdr:col>
      <xdr:colOff>47625</xdr:colOff>
      <xdr:row>22</xdr:row>
      <xdr:rowOff>161925</xdr:rowOff>
    </xdr:to>
    <xdr:sp macro="" textlink="">
      <xdr:nvSpPr>
        <xdr:cNvPr id="1061" name="Rectangle 37"/>
        <xdr:cNvSpPr>
          <a:spLocks noChangeArrowheads="1"/>
        </xdr:cNvSpPr>
      </xdr:nvSpPr>
      <xdr:spPr bwMode="auto">
        <a:xfrm>
          <a:off x="1257300" y="4591050"/>
          <a:ext cx="2247900" cy="381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1924050</xdr:colOff>
      <xdr:row>25</xdr:row>
      <xdr:rowOff>104775</xdr:rowOff>
    </xdr:from>
    <xdr:to>
      <xdr:col>2</xdr:col>
      <xdr:colOff>542925</xdr:colOff>
      <xdr:row>25</xdr:row>
      <xdr:rowOff>104775</xdr:rowOff>
    </xdr:to>
    <xdr:sp macro="" textlink="">
      <xdr:nvSpPr>
        <xdr:cNvPr id="1062" name="Line 38"/>
        <xdr:cNvSpPr>
          <a:spLocks noChangeShapeType="1"/>
        </xdr:cNvSpPr>
      </xdr:nvSpPr>
      <xdr:spPr bwMode="auto">
        <a:xfrm flipH="1">
          <a:off x="2400300" y="5143500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</xdr:col>
      <xdr:colOff>1981200</xdr:colOff>
      <xdr:row>25</xdr:row>
      <xdr:rowOff>104775</xdr:rowOff>
    </xdr:from>
    <xdr:to>
      <xdr:col>2</xdr:col>
      <xdr:colOff>600075</xdr:colOff>
      <xdr:row>25</xdr:row>
      <xdr:rowOff>104775</xdr:rowOff>
    </xdr:to>
    <xdr:sp macro="" textlink="">
      <xdr:nvSpPr>
        <xdr:cNvPr id="1063" name="Line 39"/>
        <xdr:cNvSpPr>
          <a:spLocks noChangeShapeType="1"/>
        </xdr:cNvSpPr>
      </xdr:nvSpPr>
      <xdr:spPr bwMode="auto">
        <a:xfrm>
          <a:off x="2457450" y="5143500"/>
          <a:ext cx="7429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</xdr:col>
      <xdr:colOff>9525</xdr:colOff>
      <xdr:row>25</xdr:row>
      <xdr:rowOff>142875</xdr:rowOff>
    </xdr:from>
    <xdr:to>
      <xdr:col>7</xdr:col>
      <xdr:colOff>742950</xdr:colOff>
      <xdr:row>25</xdr:row>
      <xdr:rowOff>142875</xdr:rowOff>
    </xdr:to>
    <xdr:sp macro="" textlink="">
      <xdr:nvSpPr>
        <xdr:cNvPr id="1064" name="Line 40"/>
        <xdr:cNvSpPr>
          <a:spLocks noChangeShapeType="1"/>
        </xdr:cNvSpPr>
      </xdr:nvSpPr>
      <xdr:spPr bwMode="auto">
        <a:xfrm>
          <a:off x="4533900" y="5181600"/>
          <a:ext cx="3057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4</xdr:col>
      <xdr:colOff>9525</xdr:colOff>
      <xdr:row>25</xdr:row>
      <xdr:rowOff>142875</xdr:rowOff>
    </xdr:from>
    <xdr:to>
      <xdr:col>7</xdr:col>
      <xdr:colOff>752475</xdr:colOff>
      <xdr:row>25</xdr:row>
      <xdr:rowOff>142875</xdr:rowOff>
    </xdr:to>
    <xdr:sp macro="" textlink="">
      <xdr:nvSpPr>
        <xdr:cNvPr id="1065" name="Line 41"/>
        <xdr:cNvSpPr>
          <a:spLocks noChangeShapeType="1"/>
        </xdr:cNvSpPr>
      </xdr:nvSpPr>
      <xdr:spPr bwMode="auto">
        <a:xfrm flipH="1">
          <a:off x="4533900" y="5181600"/>
          <a:ext cx="3067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</xdr:col>
      <xdr:colOff>885825</xdr:colOff>
      <xdr:row>22</xdr:row>
      <xdr:rowOff>171450</xdr:rowOff>
    </xdr:from>
    <xdr:to>
      <xdr:col>1</xdr:col>
      <xdr:colOff>885825</xdr:colOff>
      <xdr:row>24</xdr:row>
      <xdr:rowOff>9525</xdr:rowOff>
    </xdr:to>
    <xdr:sp macro="" textlink="">
      <xdr:nvSpPr>
        <xdr:cNvPr id="1066" name="Line 42"/>
        <xdr:cNvSpPr>
          <a:spLocks noChangeShapeType="1"/>
        </xdr:cNvSpPr>
      </xdr:nvSpPr>
      <xdr:spPr bwMode="auto">
        <a:xfrm>
          <a:off x="1362075" y="4638675"/>
          <a:ext cx="0" cy="21907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</xdr:col>
      <xdr:colOff>885825</xdr:colOff>
      <xdr:row>22</xdr:row>
      <xdr:rowOff>171450</xdr:rowOff>
    </xdr:from>
    <xdr:to>
      <xdr:col>1</xdr:col>
      <xdr:colOff>885825</xdr:colOff>
      <xdr:row>24</xdr:row>
      <xdr:rowOff>19050</xdr:rowOff>
    </xdr:to>
    <xdr:sp macro="" textlink="">
      <xdr:nvSpPr>
        <xdr:cNvPr id="1067" name="Line 43"/>
        <xdr:cNvSpPr>
          <a:spLocks noChangeShapeType="1"/>
        </xdr:cNvSpPr>
      </xdr:nvSpPr>
      <xdr:spPr bwMode="auto">
        <a:xfrm flipV="1">
          <a:off x="1362075" y="4638675"/>
          <a:ext cx="0" cy="2286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</xdr:col>
      <xdr:colOff>1914525</xdr:colOff>
      <xdr:row>24</xdr:row>
      <xdr:rowOff>38100</xdr:rowOff>
    </xdr:from>
    <xdr:to>
      <xdr:col>1</xdr:col>
      <xdr:colOff>1914525</xdr:colOff>
      <xdr:row>26</xdr:row>
      <xdr:rowOff>47625</xdr:rowOff>
    </xdr:to>
    <xdr:sp macro="" textlink="">
      <xdr:nvSpPr>
        <xdr:cNvPr id="1068" name="Line 44"/>
        <xdr:cNvSpPr>
          <a:spLocks noChangeShapeType="1"/>
        </xdr:cNvSpPr>
      </xdr:nvSpPr>
      <xdr:spPr bwMode="auto">
        <a:xfrm>
          <a:off x="2390775" y="4886325"/>
          <a:ext cx="0" cy="390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590550</xdr:colOff>
      <xdr:row>24</xdr:row>
      <xdr:rowOff>47625</xdr:rowOff>
    </xdr:from>
    <xdr:to>
      <xdr:col>2</xdr:col>
      <xdr:colOff>590550</xdr:colOff>
      <xdr:row>26</xdr:row>
      <xdr:rowOff>28575</xdr:rowOff>
    </xdr:to>
    <xdr:sp macro="" textlink="">
      <xdr:nvSpPr>
        <xdr:cNvPr id="1069" name="Line 45"/>
        <xdr:cNvSpPr>
          <a:spLocks noChangeShapeType="1"/>
        </xdr:cNvSpPr>
      </xdr:nvSpPr>
      <xdr:spPr bwMode="auto">
        <a:xfrm flipH="1">
          <a:off x="3190875" y="4895850"/>
          <a:ext cx="0" cy="3619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942975</xdr:colOff>
      <xdr:row>25</xdr:row>
      <xdr:rowOff>0</xdr:rowOff>
    </xdr:from>
    <xdr:to>
      <xdr:col>1</xdr:col>
      <xdr:colOff>1343025</xdr:colOff>
      <xdr:row>25</xdr:row>
      <xdr:rowOff>0</xdr:rowOff>
    </xdr:to>
    <xdr:sp macro="" textlink="">
      <xdr:nvSpPr>
        <xdr:cNvPr id="1075" name="Line 51"/>
        <xdr:cNvSpPr>
          <a:spLocks noChangeShapeType="1"/>
        </xdr:cNvSpPr>
      </xdr:nvSpPr>
      <xdr:spPr bwMode="auto">
        <a:xfrm>
          <a:off x="1419225" y="5038725"/>
          <a:ext cx="4000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1219200</xdr:colOff>
      <xdr:row>25</xdr:row>
      <xdr:rowOff>0</xdr:rowOff>
    </xdr:from>
    <xdr:to>
      <xdr:col>1</xdr:col>
      <xdr:colOff>1323975</xdr:colOff>
      <xdr:row>25</xdr:row>
      <xdr:rowOff>0</xdr:rowOff>
    </xdr:to>
    <xdr:sp macro="" textlink="">
      <xdr:nvSpPr>
        <xdr:cNvPr id="1077" name="Line 53"/>
        <xdr:cNvSpPr>
          <a:spLocks noChangeShapeType="1"/>
        </xdr:cNvSpPr>
      </xdr:nvSpPr>
      <xdr:spPr bwMode="auto">
        <a:xfrm flipH="1">
          <a:off x="1695450" y="5038725"/>
          <a:ext cx="1047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>
    <xdr:from>
      <xdr:col>1</xdr:col>
      <xdr:colOff>971550</xdr:colOff>
      <xdr:row>25</xdr:row>
      <xdr:rowOff>0</xdr:rowOff>
    </xdr:from>
    <xdr:to>
      <xdr:col>1</xdr:col>
      <xdr:colOff>1085850</xdr:colOff>
      <xdr:row>25</xdr:row>
      <xdr:rowOff>0</xdr:rowOff>
    </xdr:to>
    <xdr:sp macro="" textlink="">
      <xdr:nvSpPr>
        <xdr:cNvPr id="1079" name="Line 55"/>
        <xdr:cNvSpPr>
          <a:spLocks noChangeShapeType="1"/>
        </xdr:cNvSpPr>
      </xdr:nvSpPr>
      <xdr:spPr bwMode="auto">
        <a:xfrm>
          <a:off x="1447800" y="5038725"/>
          <a:ext cx="1143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 type="triangle" w="med" len="med"/>
        </a:ln>
      </xdr:spPr>
    </xdr:sp>
    <xdr:clientData/>
  </xdr:twoCellAnchor>
  <xdr:twoCellAnchor editAs="oneCell">
    <xdr:from>
      <xdr:col>1</xdr:col>
      <xdr:colOff>581025</xdr:colOff>
      <xdr:row>22</xdr:row>
      <xdr:rowOff>171450</xdr:rowOff>
    </xdr:from>
    <xdr:to>
      <xdr:col>1</xdr:col>
      <xdr:colOff>790575</xdr:colOff>
      <xdr:row>24</xdr:row>
      <xdr:rowOff>47625</xdr:rowOff>
    </xdr:to>
    <xdr:pic>
      <xdr:nvPicPr>
        <xdr:cNvPr id="1085" name="Picture 61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057275" y="4638675"/>
          <a:ext cx="209550" cy="257175"/>
        </a:xfrm>
        <a:prstGeom prst="rect">
          <a:avLst/>
        </a:prstGeom>
        <a:noFill/>
      </xdr:spPr>
    </xdr:pic>
    <xdr:clientData/>
  </xdr:twoCellAnchor>
  <xdr:twoCellAnchor editAs="oneCell">
    <xdr:from>
      <xdr:col>2</xdr:col>
      <xdr:colOff>133350</xdr:colOff>
      <xdr:row>26</xdr:row>
      <xdr:rowOff>28575</xdr:rowOff>
    </xdr:from>
    <xdr:to>
      <xdr:col>2</xdr:col>
      <xdr:colOff>333375</xdr:colOff>
      <xdr:row>27</xdr:row>
      <xdr:rowOff>47625</xdr:rowOff>
    </xdr:to>
    <xdr:pic>
      <xdr:nvPicPr>
        <xdr:cNvPr id="1089" name="Picture 65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2733675" y="5257800"/>
          <a:ext cx="200025" cy="209550"/>
        </a:xfrm>
        <a:prstGeom prst="rect">
          <a:avLst/>
        </a:prstGeom>
        <a:noFill/>
      </xdr:spPr>
    </xdr:pic>
    <xdr:clientData/>
  </xdr:twoCellAnchor>
  <xdr:twoCellAnchor editAs="oneCell">
    <xdr:from>
      <xdr:col>5</xdr:col>
      <xdr:colOff>647700</xdr:colOff>
      <xdr:row>26</xdr:row>
      <xdr:rowOff>9525</xdr:rowOff>
    </xdr:from>
    <xdr:to>
      <xdr:col>6</xdr:col>
      <xdr:colOff>95250</xdr:colOff>
      <xdr:row>27</xdr:row>
      <xdr:rowOff>104775</xdr:rowOff>
    </xdr:to>
    <xdr:pic>
      <xdr:nvPicPr>
        <xdr:cNvPr id="1091" name="Picture 67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972175" y="5238750"/>
          <a:ext cx="209550" cy="28575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1104900</xdr:colOff>
      <xdr:row>25</xdr:row>
      <xdr:rowOff>47625</xdr:rowOff>
    </xdr:from>
    <xdr:to>
      <xdr:col>1</xdr:col>
      <xdr:colOff>1200150</xdr:colOff>
      <xdr:row>26</xdr:row>
      <xdr:rowOff>0</xdr:rowOff>
    </xdr:to>
    <xdr:pic>
      <xdr:nvPicPr>
        <xdr:cNvPr id="1093" name="Picture 69"/>
        <xdr:cNvPicPr>
          <a:picLocks noChangeAspect="1" noChangeArrowheads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581150" y="5086350"/>
          <a:ext cx="95250" cy="1428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327"/>
  <sheetViews>
    <sheetView topLeftCell="A40" workbookViewId="0">
      <selection activeCell="C18" sqref="C18"/>
    </sheetView>
  </sheetViews>
  <sheetFormatPr baseColWidth="10" defaultRowHeight="12.75"/>
  <cols>
    <col min="1" max="1" width="7.140625" style="8" customWidth="1"/>
    <col min="2" max="2" width="31.85546875" style="8" customWidth="1"/>
    <col min="3" max="3" width="12.85546875" style="8" customWidth="1"/>
    <col min="4" max="4" width="16" style="8" customWidth="1"/>
    <col min="5" max="5" width="12" style="8" bestFit="1" customWidth="1"/>
    <col min="6" max="8" width="11.42578125" style="8"/>
    <col min="9" max="9" width="2.7109375" style="8" customWidth="1"/>
    <col min="10" max="16384" width="11.42578125" style="8"/>
  </cols>
  <sheetData>
    <row r="1" spans="1:23" ht="13.5" thickBot="1">
      <c r="A1" s="7"/>
      <c r="B1" s="7"/>
      <c r="C1" s="7"/>
      <c r="D1" s="7"/>
      <c r="E1" s="7"/>
      <c r="F1" s="7"/>
      <c r="G1" s="7"/>
      <c r="H1" s="7"/>
      <c r="I1" s="7"/>
      <c r="J1" s="7"/>
      <c r="O1" s="9"/>
      <c r="P1" s="9"/>
      <c r="Q1" s="9"/>
      <c r="R1" s="9"/>
      <c r="S1" s="9"/>
      <c r="T1" s="9"/>
      <c r="U1" s="9"/>
      <c r="V1" s="9"/>
      <c r="W1" s="9"/>
    </row>
    <row r="2" spans="1:23" ht="24.75" customHeight="1" thickTop="1" thickBot="1">
      <c r="A2" s="7"/>
      <c r="B2" s="301" t="s">
        <v>229</v>
      </c>
      <c r="C2" s="302"/>
      <c r="D2" s="302"/>
      <c r="E2" s="302"/>
      <c r="F2" s="302"/>
      <c r="G2" s="302"/>
      <c r="H2" s="303"/>
      <c r="I2" s="7"/>
      <c r="J2" s="7"/>
      <c r="O2" s="9"/>
      <c r="P2" s="9"/>
      <c r="Q2" s="9"/>
      <c r="R2" s="9"/>
      <c r="S2" s="9"/>
      <c r="T2" s="9"/>
      <c r="U2" s="9"/>
      <c r="V2" s="9"/>
      <c r="W2" s="9"/>
    </row>
    <row r="3" spans="1:23" ht="24.75" customHeight="1" thickTop="1">
      <c r="A3" s="7"/>
      <c r="B3" s="306" t="s">
        <v>265</v>
      </c>
      <c r="C3" s="306"/>
      <c r="D3" s="306"/>
      <c r="E3" s="306"/>
      <c r="F3" s="306"/>
      <c r="G3" s="306"/>
      <c r="H3" s="306"/>
      <c r="I3" s="7"/>
      <c r="J3" s="7"/>
      <c r="O3" s="9"/>
      <c r="P3" s="9"/>
      <c r="Q3" s="9"/>
      <c r="R3" s="9"/>
      <c r="S3" s="9"/>
      <c r="T3" s="9"/>
      <c r="U3" s="9"/>
      <c r="V3" s="9"/>
      <c r="W3" s="9"/>
    </row>
    <row r="4" spans="1:23" ht="15">
      <c r="A4" s="7"/>
      <c r="B4" s="10"/>
      <c r="C4" s="10"/>
      <c r="D4" s="10"/>
      <c r="E4" s="10"/>
      <c r="F4" s="10"/>
      <c r="G4" s="10"/>
      <c r="H4" s="10"/>
      <c r="I4" s="7"/>
      <c r="J4" s="7"/>
      <c r="O4" s="9"/>
      <c r="P4" s="9"/>
      <c r="Q4" s="9"/>
      <c r="R4" s="9"/>
      <c r="S4" s="9"/>
      <c r="T4" s="9"/>
      <c r="U4" s="9"/>
      <c r="V4" s="9"/>
      <c r="W4" s="9"/>
    </row>
    <row r="5" spans="1:23" ht="15">
      <c r="A5" s="7"/>
      <c r="B5" s="10"/>
      <c r="C5" s="10"/>
      <c r="D5" s="10"/>
      <c r="E5" s="10"/>
      <c r="F5" s="10"/>
      <c r="G5" s="10"/>
      <c r="H5" s="10"/>
      <c r="I5" s="7"/>
      <c r="J5" s="7"/>
      <c r="O5" s="9"/>
      <c r="P5" s="9"/>
      <c r="Q5" s="9"/>
      <c r="R5" s="9"/>
      <c r="S5" s="9"/>
      <c r="T5" s="9"/>
      <c r="U5" s="9"/>
      <c r="V5" s="9"/>
      <c r="W5" s="9"/>
    </row>
    <row r="6" spans="1:23" ht="15">
      <c r="A6" s="7"/>
      <c r="B6" s="10"/>
      <c r="C6" s="10"/>
      <c r="D6" s="10"/>
      <c r="E6" s="10"/>
      <c r="F6" s="10"/>
      <c r="G6" s="10"/>
      <c r="H6" s="10"/>
      <c r="I6" s="7"/>
      <c r="J6" s="7"/>
      <c r="O6" s="9"/>
      <c r="P6" s="9"/>
      <c r="Q6" s="9"/>
      <c r="R6" s="9"/>
      <c r="S6" s="9"/>
      <c r="T6" s="9"/>
      <c r="U6" s="9"/>
      <c r="V6" s="9"/>
      <c r="W6" s="9"/>
    </row>
    <row r="7" spans="1:23" ht="15">
      <c r="A7" s="7"/>
      <c r="B7" s="11" t="s">
        <v>249</v>
      </c>
      <c r="C7" s="304" t="s">
        <v>257</v>
      </c>
      <c r="D7" s="304"/>
      <c r="E7" s="304"/>
      <c r="F7" s="304"/>
      <c r="G7" s="304"/>
      <c r="H7" s="305"/>
      <c r="I7" s="12"/>
      <c r="J7" s="7"/>
      <c r="O7" s="9"/>
      <c r="P7" s="9"/>
      <c r="Q7" s="9"/>
      <c r="R7" s="9"/>
      <c r="S7" s="9"/>
      <c r="T7" s="9"/>
      <c r="U7" s="9"/>
      <c r="V7" s="9"/>
      <c r="W7" s="9"/>
    </row>
    <row r="8" spans="1:23" ht="15">
      <c r="A8" s="7"/>
      <c r="B8" s="11" t="s">
        <v>250</v>
      </c>
      <c r="C8" s="304" t="s">
        <v>258</v>
      </c>
      <c r="D8" s="304"/>
      <c r="E8" s="304"/>
      <c r="F8" s="304"/>
      <c r="G8" s="304"/>
      <c r="H8" s="305"/>
      <c r="I8" s="12"/>
      <c r="J8" s="7"/>
      <c r="O8" s="9"/>
      <c r="P8" s="9"/>
      <c r="Q8" s="9"/>
      <c r="R8" s="9"/>
      <c r="S8" s="9"/>
      <c r="T8" s="9"/>
      <c r="U8" s="9"/>
      <c r="V8" s="9"/>
      <c r="W8" s="9"/>
    </row>
    <row r="9" spans="1:23" ht="15">
      <c r="A9" s="7"/>
      <c r="B9" s="13"/>
      <c r="C9" s="14"/>
      <c r="D9" s="14"/>
      <c r="E9" s="14"/>
      <c r="F9" s="14"/>
      <c r="G9" s="14"/>
      <c r="H9" s="14"/>
      <c r="I9" s="12"/>
      <c r="J9" s="7"/>
      <c r="O9" s="9"/>
      <c r="P9" s="9"/>
      <c r="Q9" s="9"/>
      <c r="R9" s="9"/>
      <c r="S9" s="9"/>
      <c r="T9" s="9"/>
      <c r="U9" s="9"/>
      <c r="V9" s="9"/>
      <c r="W9" s="9"/>
    </row>
    <row r="10" spans="1:23" ht="15">
      <c r="A10" s="7"/>
      <c r="B10" s="13"/>
      <c r="C10" s="14"/>
      <c r="D10" s="14"/>
      <c r="E10" s="14"/>
      <c r="F10" s="14"/>
      <c r="G10" s="14"/>
      <c r="H10" s="14"/>
      <c r="I10" s="12"/>
      <c r="J10" s="7"/>
      <c r="O10" s="9"/>
      <c r="P10" s="9"/>
      <c r="Q10" s="9"/>
      <c r="R10" s="9"/>
      <c r="S10" s="9"/>
      <c r="T10" s="9"/>
      <c r="U10" s="9"/>
      <c r="V10" s="9"/>
      <c r="W10" s="9"/>
    </row>
    <row r="11" spans="1:23" ht="15">
      <c r="A11" s="7"/>
      <c r="B11" s="13"/>
      <c r="C11" s="15"/>
      <c r="D11" s="15"/>
      <c r="E11" s="15"/>
      <c r="F11" s="15"/>
      <c r="G11" s="15"/>
      <c r="H11" s="15"/>
      <c r="I11" s="12"/>
      <c r="J11" s="7"/>
      <c r="O11" s="9"/>
      <c r="P11" s="9"/>
      <c r="Q11" s="9"/>
      <c r="R11" s="9"/>
      <c r="S11" s="9"/>
      <c r="T11" s="9"/>
      <c r="U11" s="9"/>
      <c r="V11" s="9"/>
      <c r="W11" s="9"/>
    </row>
    <row r="12" spans="1:23" ht="15.75" thickBot="1">
      <c r="A12" s="7"/>
      <c r="B12" s="16"/>
      <c r="C12" s="16"/>
      <c r="D12" s="16"/>
      <c r="E12" s="16"/>
      <c r="F12" s="16"/>
      <c r="G12" s="16"/>
      <c r="H12" s="16"/>
      <c r="I12" s="16"/>
      <c r="J12" s="7"/>
      <c r="O12" s="9"/>
      <c r="P12" s="9"/>
      <c r="Q12" s="9"/>
      <c r="R12" s="9"/>
      <c r="S12" s="9"/>
      <c r="T12" s="9"/>
      <c r="U12" s="9"/>
      <c r="V12" s="9"/>
      <c r="W12" s="9"/>
    </row>
    <row r="13" spans="1:23" ht="17.25" thickTop="1" thickBot="1">
      <c r="A13" s="7"/>
      <c r="B13" s="309" t="s">
        <v>237</v>
      </c>
      <c r="C13" s="310"/>
      <c r="D13" s="310"/>
      <c r="E13" s="310"/>
      <c r="F13" s="310"/>
      <c r="G13" s="310"/>
      <c r="H13" s="311"/>
      <c r="I13" s="16"/>
      <c r="J13" s="7"/>
      <c r="O13" s="9"/>
      <c r="P13" s="9"/>
      <c r="Q13" s="9"/>
      <c r="R13" s="9"/>
      <c r="S13" s="9"/>
      <c r="T13" s="9"/>
      <c r="U13" s="9"/>
      <c r="V13" s="9"/>
      <c r="W13" s="9"/>
    </row>
    <row r="14" spans="1:23" ht="15.75" thickTop="1">
      <c r="A14" s="7"/>
      <c r="B14" s="16"/>
      <c r="C14" s="16"/>
      <c r="D14" s="16"/>
      <c r="E14" s="16"/>
      <c r="F14" s="16"/>
      <c r="G14" s="16"/>
      <c r="H14" s="16"/>
      <c r="I14" s="16"/>
      <c r="J14" s="7"/>
      <c r="O14" s="9"/>
      <c r="P14" s="9"/>
      <c r="Q14" s="9"/>
      <c r="R14" s="9"/>
      <c r="S14" s="9"/>
      <c r="T14" s="9"/>
      <c r="U14" s="9"/>
      <c r="V14" s="9"/>
      <c r="W14" s="9"/>
    </row>
    <row r="15" spans="1:23" ht="15">
      <c r="A15" s="7"/>
      <c r="B15" s="312" t="s">
        <v>230</v>
      </c>
      <c r="C15" s="313"/>
      <c r="D15" s="16"/>
      <c r="E15" s="314" t="s">
        <v>232</v>
      </c>
      <c r="F15" s="314"/>
      <c r="G15" s="314"/>
      <c r="H15" s="314"/>
      <c r="I15" s="16"/>
      <c r="J15" s="7"/>
      <c r="O15" s="9"/>
      <c r="P15" s="9"/>
      <c r="Q15" s="9"/>
      <c r="R15" s="9"/>
      <c r="S15" s="9"/>
      <c r="T15" s="9"/>
      <c r="U15" s="9"/>
      <c r="V15" s="9"/>
      <c r="W15" s="9"/>
    </row>
    <row r="16" spans="1:23" ht="15">
      <c r="A16" s="7"/>
      <c r="B16" s="18" t="s">
        <v>259</v>
      </c>
      <c r="C16" s="4">
        <v>25</v>
      </c>
      <c r="D16" s="19"/>
      <c r="E16" s="315" t="s">
        <v>233</v>
      </c>
      <c r="F16" s="315"/>
      <c r="G16" s="315"/>
      <c r="H16" s="1" t="s">
        <v>6</v>
      </c>
      <c r="I16" s="7"/>
      <c r="J16" s="7"/>
      <c r="O16" s="9"/>
      <c r="P16" s="9"/>
      <c r="Q16" s="9"/>
      <c r="R16" s="9"/>
      <c r="S16" s="9"/>
      <c r="T16" s="9"/>
      <c r="U16" s="9"/>
      <c r="V16" s="9"/>
      <c r="W16" s="9"/>
    </row>
    <row r="17" spans="1:23" ht="15">
      <c r="A17" s="7"/>
      <c r="B17" s="20" t="s">
        <v>260</v>
      </c>
      <c r="C17" s="4">
        <v>15</v>
      </c>
      <c r="D17" s="19"/>
      <c r="E17" s="294" t="s">
        <v>234</v>
      </c>
      <c r="F17" s="294"/>
      <c r="G17" s="294"/>
      <c r="H17" s="2" t="s">
        <v>9</v>
      </c>
      <c r="I17" s="7"/>
      <c r="J17" s="7"/>
      <c r="O17" s="9"/>
      <c r="P17" s="9"/>
      <c r="Q17" s="9"/>
      <c r="R17" s="9"/>
      <c r="S17" s="9"/>
      <c r="T17" s="9"/>
      <c r="U17" s="9"/>
      <c r="V17" s="9"/>
      <c r="W17" s="9"/>
    </row>
    <row r="18" spans="1:23" ht="15">
      <c r="A18" s="7"/>
      <c r="B18" s="20" t="s">
        <v>261</v>
      </c>
      <c r="C18" s="5">
        <v>120</v>
      </c>
      <c r="D18" s="19"/>
      <c r="E18" s="294" t="s">
        <v>235</v>
      </c>
      <c r="F18" s="294"/>
      <c r="G18" s="294"/>
      <c r="H18" s="2">
        <v>2</v>
      </c>
      <c r="I18" s="7"/>
      <c r="J18" s="7"/>
      <c r="O18" s="9"/>
      <c r="P18" s="9"/>
      <c r="Q18" s="9"/>
      <c r="R18" s="9"/>
      <c r="S18" s="9"/>
      <c r="T18" s="9"/>
      <c r="U18" s="9"/>
      <c r="V18" s="9"/>
      <c r="W18" s="9"/>
    </row>
    <row r="19" spans="1:23" ht="15">
      <c r="A19" s="7"/>
      <c r="B19" s="20" t="s">
        <v>262</v>
      </c>
      <c r="C19" s="5">
        <v>450</v>
      </c>
      <c r="D19" s="19"/>
      <c r="E19" s="21"/>
      <c r="F19" s="21"/>
      <c r="G19" s="21"/>
      <c r="H19" s="22"/>
      <c r="I19" s="7"/>
      <c r="J19" s="7"/>
      <c r="O19" s="9"/>
      <c r="P19" s="9"/>
      <c r="Q19" s="9"/>
      <c r="R19" s="9"/>
      <c r="S19" s="9"/>
      <c r="T19" s="9"/>
      <c r="U19" s="9"/>
      <c r="V19" s="9"/>
      <c r="W19" s="9"/>
    </row>
    <row r="20" spans="1:23" ht="15">
      <c r="A20" s="7"/>
      <c r="B20" s="20" t="s">
        <v>231</v>
      </c>
      <c r="C20" s="6">
        <v>550</v>
      </c>
      <c r="D20" s="19"/>
      <c r="E20" s="21"/>
      <c r="F20" s="21"/>
      <c r="G20" s="21"/>
      <c r="H20" s="22"/>
      <c r="I20" s="7"/>
      <c r="J20" s="7"/>
      <c r="O20" s="9"/>
      <c r="P20" s="9"/>
      <c r="Q20" s="9"/>
      <c r="R20" s="9"/>
      <c r="S20" s="9"/>
      <c r="T20" s="9"/>
      <c r="U20" s="9"/>
      <c r="V20" s="9"/>
      <c r="W20" s="9"/>
    </row>
    <row r="21" spans="1:23" ht="15">
      <c r="A21" s="7"/>
      <c r="B21" s="23"/>
      <c r="C21" s="24"/>
      <c r="D21" s="19"/>
      <c r="E21" s="21"/>
      <c r="F21" s="21"/>
      <c r="G21" s="21"/>
      <c r="H21" s="22"/>
      <c r="I21" s="7"/>
      <c r="J21" s="7"/>
      <c r="O21" s="9"/>
      <c r="P21" s="9"/>
      <c r="Q21" s="9"/>
      <c r="R21" s="9"/>
      <c r="S21" s="9"/>
      <c r="T21" s="9"/>
      <c r="U21" s="9"/>
      <c r="V21" s="9"/>
      <c r="W21" s="9"/>
    </row>
    <row r="22" spans="1:23" ht="15">
      <c r="A22" s="7"/>
      <c r="B22" s="23"/>
      <c r="C22" s="24"/>
      <c r="D22" s="19"/>
      <c r="E22" s="21"/>
      <c r="F22" s="21"/>
      <c r="G22" s="21"/>
      <c r="H22" s="22"/>
      <c r="I22" s="7"/>
      <c r="J22" s="7"/>
      <c r="O22" s="9"/>
      <c r="P22" s="9"/>
      <c r="Q22" s="9"/>
      <c r="R22" s="9"/>
      <c r="S22" s="9"/>
      <c r="T22" s="9"/>
      <c r="U22" s="9"/>
      <c r="V22" s="9"/>
      <c r="W22" s="9"/>
    </row>
    <row r="23" spans="1:23" ht="15">
      <c r="A23" s="7"/>
      <c r="B23" s="23"/>
      <c r="C23" s="24"/>
      <c r="I23" s="7"/>
      <c r="J23" s="7"/>
      <c r="O23" s="9"/>
      <c r="P23" s="9"/>
      <c r="Q23" s="9"/>
      <c r="R23" s="9"/>
      <c r="S23" s="9"/>
      <c r="T23" s="9"/>
      <c r="U23" s="9"/>
      <c r="V23" s="9"/>
      <c r="W23" s="9"/>
    </row>
    <row r="24" spans="1:23" ht="15">
      <c r="A24" s="7"/>
      <c r="B24" s="23"/>
      <c r="C24" s="24"/>
      <c r="D24" s="7"/>
      <c r="E24" s="25"/>
      <c r="F24" s="26"/>
      <c r="G24" s="26"/>
      <c r="H24" s="27"/>
      <c r="I24" s="7"/>
      <c r="J24" s="7"/>
      <c r="O24" s="9"/>
      <c r="P24" s="9"/>
      <c r="Q24" s="9"/>
      <c r="R24" s="9"/>
      <c r="S24" s="9"/>
      <c r="T24" s="9"/>
      <c r="U24" s="9"/>
      <c r="V24" s="9"/>
      <c r="W24" s="9"/>
    </row>
    <row r="25" spans="1:23" ht="15">
      <c r="A25" s="7"/>
      <c r="B25" s="23"/>
      <c r="C25" s="24"/>
      <c r="D25" s="28"/>
      <c r="E25" s="21"/>
      <c r="F25" s="21"/>
      <c r="G25" s="21"/>
      <c r="H25" s="22"/>
      <c r="I25" s="7"/>
      <c r="J25" s="7"/>
      <c r="O25" s="9"/>
      <c r="P25" s="9"/>
      <c r="Q25" s="9"/>
      <c r="R25" s="9"/>
      <c r="S25" s="9"/>
      <c r="T25" s="9"/>
      <c r="U25" s="9"/>
      <c r="V25" s="9"/>
      <c r="W25" s="9"/>
    </row>
    <row r="26" spans="1:23" ht="15">
      <c r="A26" s="7"/>
      <c r="B26" s="23"/>
      <c r="C26" s="24"/>
      <c r="D26" s="7"/>
      <c r="E26" s="29"/>
      <c r="F26" s="29"/>
      <c r="G26" s="7"/>
      <c r="H26" s="7"/>
      <c r="I26" s="7"/>
      <c r="J26" s="7"/>
      <c r="O26" s="9"/>
      <c r="P26" s="9"/>
      <c r="Q26" s="9"/>
      <c r="R26" s="9"/>
      <c r="S26" s="9"/>
      <c r="T26" s="9"/>
      <c r="U26" s="9"/>
      <c r="V26" s="9"/>
      <c r="W26" s="9"/>
    </row>
    <row r="27" spans="1:23" ht="15">
      <c r="A27" s="7"/>
      <c r="B27" s="23"/>
      <c r="C27" s="24"/>
      <c r="D27" s="19"/>
      <c r="E27" s="21"/>
      <c r="F27" s="21"/>
      <c r="G27" s="21"/>
      <c r="H27" s="22"/>
      <c r="I27" s="7"/>
      <c r="J27" s="7"/>
      <c r="O27" s="9"/>
      <c r="P27" s="9"/>
      <c r="Q27" s="9"/>
      <c r="R27" s="9"/>
      <c r="S27" s="9"/>
      <c r="T27" s="9"/>
      <c r="U27" s="9"/>
      <c r="V27" s="9"/>
      <c r="W27" s="9"/>
    </row>
    <row r="28" spans="1:23" ht="15">
      <c r="A28" s="7"/>
      <c r="B28" s="23"/>
      <c r="C28" s="24"/>
      <c r="D28" s="19"/>
      <c r="E28" s="21"/>
      <c r="F28" s="21"/>
      <c r="G28" s="21"/>
      <c r="H28" s="22"/>
      <c r="I28" s="7"/>
      <c r="J28" s="7"/>
      <c r="O28" s="9"/>
      <c r="P28" s="9"/>
      <c r="Q28" s="9"/>
      <c r="R28" s="9"/>
      <c r="S28" s="9"/>
      <c r="T28" s="9"/>
      <c r="U28" s="9"/>
      <c r="V28" s="9"/>
      <c r="W28" s="9"/>
    </row>
    <row r="29" spans="1:23" ht="15.75" thickBot="1">
      <c r="A29" s="7"/>
      <c r="B29" s="30"/>
      <c r="C29" s="24"/>
      <c r="D29" s="19"/>
      <c r="E29" s="21"/>
      <c r="F29" s="21"/>
      <c r="G29" s="21"/>
      <c r="H29" s="22"/>
      <c r="I29" s="7"/>
      <c r="J29" s="7"/>
      <c r="O29" s="9"/>
      <c r="P29" s="9"/>
      <c r="Q29" s="9"/>
      <c r="R29" s="9"/>
      <c r="S29" s="9"/>
      <c r="T29" s="9"/>
      <c r="U29" s="9"/>
      <c r="V29" s="9"/>
      <c r="W29" s="9"/>
    </row>
    <row r="30" spans="1:23" ht="17.25" thickTop="1" thickBot="1">
      <c r="A30" s="7"/>
      <c r="B30" s="309" t="s">
        <v>251</v>
      </c>
      <c r="C30" s="310"/>
      <c r="D30" s="310"/>
      <c r="E30" s="310"/>
      <c r="F30" s="310"/>
      <c r="G30" s="310"/>
      <c r="H30" s="311"/>
      <c r="I30" s="7"/>
      <c r="J30" s="7"/>
      <c r="O30" s="9"/>
      <c r="P30" s="9"/>
      <c r="Q30" s="9"/>
      <c r="R30" s="9"/>
      <c r="S30" s="9"/>
      <c r="T30" s="9"/>
      <c r="U30" s="9"/>
      <c r="V30" s="9"/>
      <c r="W30" s="9"/>
    </row>
    <row r="31" spans="1:23" ht="15.75" thickTop="1">
      <c r="A31" s="7"/>
      <c r="B31" s="31"/>
      <c r="C31" s="32"/>
      <c r="D31" s="19"/>
      <c r="E31" s="21"/>
      <c r="F31" s="21"/>
      <c r="G31" s="21"/>
      <c r="H31" s="22"/>
      <c r="I31" s="7"/>
      <c r="J31" s="7"/>
      <c r="O31" s="9"/>
      <c r="P31" s="9"/>
      <c r="Q31" s="9"/>
      <c r="R31" s="9"/>
      <c r="S31" s="9"/>
      <c r="T31" s="9"/>
      <c r="U31" s="9"/>
      <c r="V31" s="9"/>
      <c r="W31" s="9"/>
    </row>
    <row r="32" spans="1:23" ht="15">
      <c r="A32" s="7"/>
      <c r="B32" s="312" t="s">
        <v>236</v>
      </c>
      <c r="C32" s="316"/>
      <c r="D32" s="316"/>
      <c r="E32" s="313"/>
      <c r="F32" s="21"/>
      <c r="G32" s="21"/>
      <c r="H32" s="22"/>
      <c r="I32" s="7"/>
      <c r="J32" s="7"/>
      <c r="O32" s="9"/>
      <c r="P32" s="9"/>
      <c r="Q32" s="9"/>
      <c r="R32" s="9"/>
      <c r="S32" s="9"/>
      <c r="T32" s="9"/>
      <c r="U32" s="9"/>
      <c r="V32" s="9"/>
      <c r="W32" s="9"/>
    </row>
    <row r="33" spans="1:23" ht="15">
      <c r="A33" s="7"/>
      <c r="B33" s="33"/>
      <c r="C33" s="17" t="s">
        <v>244</v>
      </c>
      <c r="D33" s="17" t="s">
        <v>247</v>
      </c>
      <c r="E33" s="17" t="s">
        <v>246</v>
      </c>
      <c r="J33" s="7"/>
      <c r="O33" s="9"/>
      <c r="P33" s="9"/>
      <c r="Q33" s="9"/>
      <c r="R33" s="9"/>
      <c r="S33" s="9"/>
      <c r="T33" s="9"/>
      <c r="U33" s="9"/>
      <c r="V33" s="9"/>
      <c r="W33" s="9"/>
    </row>
    <row r="34" spans="1:23" ht="15">
      <c r="A34" s="7"/>
      <c r="B34" s="18" t="s">
        <v>239</v>
      </c>
      <c r="C34" s="34">
        <f>'Détail calculs'!B15*100</f>
        <v>17.1875</v>
      </c>
      <c r="D34" s="35">
        <f>'Détail calculs'!D15</f>
        <v>1</v>
      </c>
      <c r="E34" s="34">
        <f>'Détail calculs'!E15*100</f>
        <v>20.625</v>
      </c>
      <c r="J34" s="7"/>
      <c r="O34" s="9"/>
      <c r="P34" s="9"/>
      <c r="Q34" s="9"/>
      <c r="R34" s="9"/>
      <c r="S34" s="9"/>
      <c r="T34" s="9"/>
      <c r="U34" s="9"/>
      <c r="V34" s="9"/>
      <c r="W34" s="9"/>
    </row>
    <row r="35" spans="1:23" ht="15">
      <c r="A35" s="7"/>
      <c r="B35" s="20" t="s">
        <v>238</v>
      </c>
      <c r="C35" s="3">
        <v>150</v>
      </c>
      <c r="D35" s="35">
        <f>'Détail calculs'!D16</f>
        <v>1</v>
      </c>
      <c r="E35" s="34">
        <f>'Détail calculs'!E16*100</f>
        <v>179.99999999999997</v>
      </c>
      <c r="J35" s="7"/>
      <c r="O35" s="9"/>
      <c r="P35" s="9"/>
      <c r="Q35" s="9"/>
      <c r="R35" s="9"/>
      <c r="S35" s="9"/>
      <c r="T35" s="9"/>
      <c r="U35" s="9"/>
      <c r="V35" s="9"/>
      <c r="W35" s="9"/>
    </row>
    <row r="36" spans="1:23" ht="15">
      <c r="A36" s="7"/>
      <c r="B36" s="20" t="s">
        <v>240</v>
      </c>
      <c r="C36" s="3">
        <v>150</v>
      </c>
      <c r="D36" s="35">
        <f>'Détail calculs'!D17</f>
        <v>1.2</v>
      </c>
      <c r="E36" s="34">
        <f>'Détail calculs'!E17*100+'Détail calculs'!E18*100</f>
        <v>216</v>
      </c>
      <c r="J36" s="7"/>
      <c r="O36" s="9"/>
      <c r="P36" s="9"/>
      <c r="Q36" s="9"/>
      <c r="R36" s="9"/>
      <c r="S36" s="9"/>
      <c r="T36" s="9"/>
      <c r="U36" s="9"/>
      <c r="V36" s="9"/>
      <c r="W36" s="9"/>
    </row>
    <row r="37" spans="1:23" ht="15">
      <c r="A37" s="7"/>
      <c r="B37" s="20" t="s">
        <v>241</v>
      </c>
      <c r="C37" s="3">
        <v>0</v>
      </c>
      <c r="D37" s="35">
        <f>'Détail calculs'!D19</f>
        <v>0</v>
      </c>
      <c r="E37" s="34">
        <f>'Détail calculs'!E19</f>
        <v>0</v>
      </c>
      <c r="J37" s="7"/>
      <c r="O37" s="9"/>
      <c r="P37" s="9"/>
      <c r="Q37" s="9"/>
      <c r="R37" s="9"/>
      <c r="S37" s="9"/>
      <c r="T37" s="9"/>
      <c r="U37" s="9"/>
      <c r="V37" s="9"/>
      <c r="W37" s="9"/>
    </row>
    <row r="38" spans="1:23" ht="15">
      <c r="A38" s="7"/>
      <c r="B38" s="20" t="s">
        <v>242</v>
      </c>
      <c r="C38" s="3">
        <v>0</v>
      </c>
      <c r="D38" s="35">
        <f>'Détail calculs'!D20</f>
        <v>0</v>
      </c>
      <c r="E38" s="34">
        <f>'Détail calculs'!E20</f>
        <v>0</v>
      </c>
      <c r="J38" s="7"/>
      <c r="O38" s="9"/>
      <c r="P38" s="9"/>
      <c r="Q38" s="9"/>
      <c r="R38" s="9"/>
      <c r="S38" s="9"/>
      <c r="T38" s="9"/>
      <c r="U38" s="9"/>
      <c r="V38" s="9"/>
      <c r="W38" s="9"/>
    </row>
    <row r="39" spans="1:23" ht="15">
      <c r="A39" s="7"/>
      <c r="B39" s="31" t="s">
        <v>248</v>
      </c>
      <c r="C39" s="32"/>
      <c r="D39" s="32"/>
      <c r="E39" s="36" t="str">
        <f>CONCATENATE(ROUND(SUM(E34:E38),0)," kg/ml")</f>
        <v>417 kg/ml</v>
      </c>
      <c r="J39" s="7"/>
      <c r="O39" s="9"/>
      <c r="P39" s="9"/>
      <c r="Q39" s="9"/>
      <c r="R39" s="9"/>
      <c r="S39" s="9"/>
      <c r="T39" s="9"/>
      <c r="U39" s="9"/>
      <c r="V39" s="9"/>
      <c r="W39" s="9"/>
    </row>
    <row r="40" spans="1:23" ht="15">
      <c r="A40" s="7"/>
      <c r="B40" s="31"/>
      <c r="C40" s="32"/>
      <c r="D40" s="32"/>
      <c r="E40" s="36"/>
      <c r="J40" s="7"/>
      <c r="O40" s="9"/>
      <c r="P40" s="9"/>
      <c r="Q40" s="9"/>
      <c r="R40" s="9"/>
      <c r="S40" s="9"/>
      <c r="T40" s="9"/>
      <c r="U40" s="9"/>
      <c r="V40" s="9"/>
      <c r="W40" s="9"/>
    </row>
    <row r="41" spans="1:23" ht="15">
      <c r="A41" s="7"/>
      <c r="B41" s="31"/>
      <c r="C41" s="32"/>
      <c r="D41" s="32"/>
      <c r="E41" s="36"/>
      <c r="J41" s="7"/>
      <c r="O41" s="9"/>
      <c r="P41" s="9"/>
      <c r="Q41" s="9"/>
      <c r="R41" s="9"/>
      <c r="S41" s="9"/>
      <c r="T41" s="9"/>
      <c r="U41" s="9"/>
      <c r="V41" s="9"/>
      <c r="W41" s="9"/>
    </row>
    <row r="42" spans="1:23" ht="15">
      <c r="A42" s="7"/>
      <c r="B42" s="31"/>
      <c r="C42" s="32"/>
      <c r="D42" s="32"/>
      <c r="E42" s="36"/>
      <c r="J42" s="7"/>
      <c r="O42" s="9"/>
      <c r="P42" s="9"/>
      <c r="Q42" s="9"/>
      <c r="R42" s="9"/>
      <c r="S42" s="9"/>
      <c r="T42" s="9"/>
      <c r="U42" s="9"/>
      <c r="V42" s="9"/>
      <c r="W42" s="9"/>
    </row>
    <row r="43" spans="1:23" ht="15">
      <c r="A43" s="7"/>
      <c r="B43" s="31"/>
      <c r="C43" s="32"/>
      <c r="D43" s="32"/>
      <c r="E43" s="36"/>
      <c r="J43" s="7"/>
      <c r="O43" s="9"/>
      <c r="P43" s="9"/>
      <c r="Q43" s="9"/>
      <c r="R43" s="9"/>
      <c r="S43" s="9"/>
      <c r="T43" s="9"/>
      <c r="U43" s="9"/>
      <c r="V43" s="9"/>
      <c r="W43" s="9"/>
    </row>
    <row r="44" spans="1:23" ht="15">
      <c r="A44" s="7"/>
      <c r="B44" s="31"/>
      <c r="C44" s="32"/>
      <c r="D44" s="32"/>
      <c r="E44" s="36"/>
      <c r="J44" s="7"/>
      <c r="O44" s="9"/>
      <c r="P44" s="9"/>
      <c r="Q44" s="9"/>
      <c r="R44" s="9"/>
      <c r="S44" s="9"/>
      <c r="T44" s="9"/>
      <c r="U44" s="9"/>
      <c r="V44" s="9"/>
      <c r="W44" s="9"/>
    </row>
    <row r="45" spans="1:23" ht="15.75" thickBot="1">
      <c r="A45" s="7"/>
      <c r="B45" s="31"/>
      <c r="C45" s="32"/>
      <c r="D45" s="32"/>
      <c r="J45" s="7"/>
      <c r="O45" s="9"/>
      <c r="P45" s="9"/>
      <c r="Q45" s="9"/>
      <c r="R45" s="9"/>
      <c r="S45" s="9"/>
      <c r="T45" s="9"/>
      <c r="U45" s="9"/>
      <c r="V45" s="9"/>
      <c r="W45" s="9"/>
    </row>
    <row r="46" spans="1:23" ht="17.25" thickTop="1" thickBot="1">
      <c r="A46" s="7"/>
      <c r="B46" s="298" t="s">
        <v>243</v>
      </c>
      <c r="C46" s="299"/>
      <c r="D46" s="299"/>
      <c r="E46" s="299"/>
      <c r="F46" s="299"/>
      <c r="G46" s="299"/>
      <c r="H46" s="300"/>
      <c r="I46" s="37"/>
      <c r="J46" s="37"/>
      <c r="O46" s="9"/>
      <c r="P46" s="9"/>
      <c r="Q46" s="9"/>
      <c r="R46" s="9"/>
      <c r="S46" s="9"/>
      <c r="T46" s="9"/>
      <c r="U46" s="9"/>
      <c r="V46" s="9"/>
      <c r="W46" s="9"/>
    </row>
    <row r="47" spans="1:23" ht="15.75" thickTop="1">
      <c r="A47" s="7"/>
      <c r="B47" s="38"/>
      <c r="C47" s="32"/>
      <c r="J47" s="37"/>
      <c r="O47" s="9"/>
      <c r="P47" s="9"/>
      <c r="Q47" s="9"/>
      <c r="R47" s="9"/>
      <c r="S47" s="9"/>
      <c r="T47" s="9"/>
      <c r="U47" s="9"/>
      <c r="V47" s="9"/>
      <c r="W47" s="9"/>
    </row>
    <row r="48" spans="1:23" ht="15">
      <c r="A48" s="7"/>
      <c r="B48" s="312" t="s">
        <v>245</v>
      </c>
      <c r="C48" s="313"/>
      <c r="J48" s="37"/>
      <c r="K48" s="39"/>
      <c r="O48" s="9"/>
      <c r="P48" s="9"/>
      <c r="Q48" s="9"/>
      <c r="R48" s="9"/>
      <c r="S48" s="9"/>
      <c r="T48" s="9"/>
      <c r="U48" s="9"/>
      <c r="V48" s="9"/>
      <c r="W48" s="9"/>
    </row>
    <row r="49" spans="1:23" ht="15">
      <c r="A49" s="7"/>
      <c r="B49" s="18" t="s">
        <v>252</v>
      </c>
      <c r="C49" s="40">
        <f>2*C50</f>
        <v>1874.8124999999998</v>
      </c>
      <c r="E49" s="41"/>
      <c r="F49" s="41"/>
      <c r="G49" s="41"/>
      <c r="H49" s="41"/>
      <c r="J49" s="37"/>
      <c r="K49" s="39"/>
      <c r="O49" s="9"/>
      <c r="P49" s="9"/>
      <c r="Q49" s="9"/>
      <c r="R49" s="9"/>
      <c r="S49" s="9"/>
      <c r="T49" s="9"/>
      <c r="U49" s="9"/>
      <c r="V49" s="9"/>
      <c r="W49" s="9"/>
    </row>
    <row r="50" spans="1:23" ht="18" customHeight="1">
      <c r="A50" s="7"/>
      <c r="B50" s="20" t="s">
        <v>253</v>
      </c>
      <c r="C50" s="40">
        <f>'Détail calculs'!B50*100</f>
        <v>937.40624999999989</v>
      </c>
      <c r="E50" s="42" t="s">
        <v>264</v>
      </c>
      <c r="F50" s="42"/>
      <c r="G50" s="42" t="str">
        <f>CONCATENATE(ROUND('Détail calculs'!E49,0), " cm2  soit ")</f>
        <v xml:space="preserve">43 cm2  soit </v>
      </c>
      <c r="H50" s="42" t="str">
        <f>CONCATENATE(ROUND('Détail calculs'!E50,0)," cm")</f>
        <v>3 cm</v>
      </c>
      <c r="J50" s="37"/>
      <c r="K50" s="39"/>
      <c r="O50" s="9"/>
      <c r="P50" s="9"/>
      <c r="Q50" s="9"/>
      <c r="R50" s="9"/>
      <c r="S50" s="9"/>
      <c r="T50" s="9"/>
      <c r="U50" s="9"/>
      <c r="V50" s="9"/>
      <c r="W50" s="9"/>
    </row>
    <row r="51" spans="1:23" ht="18" customHeight="1">
      <c r="A51" s="7"/>
      <c r="B51" s="20" t="s">
        <v>263</v>
      </c>
      <c r="C51" s="43">
        <f>'Détail calculs'!F59</f>
        <v>3.7496249999999995</v>
      </c>
      <c r="E51" s="44" t="str">
        <f>IF('Détail calculs'!G59&lt;1,"OK","FAUX")</f>
        <v>OK</v>
      </c>
      <c r="F51" s="44"/>
      <c r="G51" s="45">
        <f>'Détail calculs'!G59</f>
        <v>0.28843269230769225</v>
      </c>
      <c r="H51" s="44"/>
      <c r="J51" s="37"/>
      <c r="K51" s="39"/>
      <c r="O51" s="9"/>
      <c r="P51" s="9"/>
      <c r="Q51" s="9"/>
      <c r="R51" s="9"/>
      <c r="S51" s="9"/>
      <c r="T51" s="9"/>
      <c r="U51" s="9"/>
      <c r="V51" s="9"/>
      <c r="W51" s="9"/>
    </row>
    <row r="52" spans="1:23" ht="18" customHeight="1">
      <c r="A52" s="7"/>
      <c r="B52" s="20" t="s">
        <v>254</v>
      </c>
      <c r="C52" s="46">
        <f>'Détail calculs'!E29*100</f>
        <v>1054.58203125</v>
      </c>
      <c r="E52" s="44"/>
      <c r="F52" s="44"/>
      <c r="G52" s="45"/>
      <c r="H52" s="44"/>
      <c r="J52" s="37"/>
      <c r="K52" s="39"/>
      <c r="O52" s="9"/>
      <c r="P52" s="9"/>
      <c r="Q52" s="9"/>
      <c r="R52" s="9"/>
      <c r="S52" s="9"/>
      <c r="T52" s="9"/>
      <c r="U52" s="9"/>
      <c r="V52" s="9"/>
      <c r="W52" s="9"/>
    </row>
    <row r="53" spans="1:23" ht="18" customHeight="1">
      <c r="A53" s="7"/>
      <c r="B53" s="20" t="s">
        <v>255</v>
      </c>
      <c r="C53" s="43">
        <f>'Détail calculs'!F60</f>
        <v>67.493250000000003</v>
      </c>
      <c r="E53" s="44" t="str">
        <f>'Détail calculs'!C65</f>
        <v>OK</v>
      </c>
      <c r="F53" s="47"/>
      <c r="G53" s="45">
        <f>'Détail calculs'!G65</f>
        <v>0.71446630204657735</v>
      </c>
      <c r="H53" s="47"/>
      <c r="J53" s="37"/>
      <c r="K53" s="39"/>
      <c r="O53" s="9"/>
      <c r="P53" s="9"/>
      <c r="Q53" s="9"/>
      <c r="R53" s="9"/>
      <c r="S53" s="9"/>
      <c r="T53" s="9"/>
      <c r="U53" s="9"/>
      <c r="V53" s="9"/>
      <c r="W53" s="9"/>
    </row>
    <row r="54" spans="1:23" ht="18" customHeight="1">
      <c r="A54" s="7"/>
      <c r="B54" s="20" t="s">
        <v>256</v>
      </c>
      <c r="C54" s="48">
        <f>'Détail calculs'!C41</f>
        <v>1.0484405911548151</v>
      </c>
      <c r="D54" s="7"/>
      <c r="E54" s="44" t="str">
        <f>'Détail calculs'!C43</f>
        <v>OK</v>
      </c>
      <c r="F54" s="47"/>
      <c r="G54" s="45" t="str">
        <f>'Détail calculs'!G43</f>
        <v>1 / 430 éme</v>
      </c>
      <c r="H54" s="47"/>
      <c r="I54" s="37"/>
      <c r="J54" s="37"/>
      <c r="K54" s="39"/>
      <c r="O54" s="9"/>
      <c r="P54" s="9"/>
      <c r="Q54" s="9"/>
      <c r="R54" s="9"/>
      <c r="S54" s="9"/>
      <c r="T54" s="9"/>
      <c r="U54" s="9"/>
      <c r="V54" s="9"/>
      <c r="W54" s="9"/>
    </row>
    <row r="55" spans="1:23" ht="18" customHeight="1">
      <c r="A55" s="7"/>
      <c r="B55" s="31"/>
      <c r="C55" s="49"/>
      <c r="D55" s="7"/>
      <c r="E55" s="41"/>
      <c r="F55" s="41"/>
      <c r="I55" s="37"/>
      <c r="J55" s="37"/>
      <c r="K55" s="39"/>
      <c r="O55" s="9"/>
      <c r="P55" s="9"/>
      <c r="Q55" s="9"/>
      <c r="R55" s="9"/>
      <c r="S55" s="9"/>
      <c r="T55" s="9"/>
      <c r="U55" s="9"/>
      <c r="V55" s="9"/>
      <c r="W55" s="9"/>
    </row>
    <row r="56" spans="1:23" ht="18" customHeight="1">
      <c r="A56" s="50"/>
      <c r="B56" s="51"/>
      <c r="C56" s="32"/>
      <c r="D56" s="29"/>
      <c r="I56" s="52"/>
      <c r="J56" s="52"/>
      <c r="K56" s="39"/>
      <c r="O56" s="9"/>
      <c r="P56" s="9"/>
      <c r="Q56" s="9"/>
      <c r="R56" s="9"/>
      <c r="S56" s="9"/>
      <c r="T56" s="9"/>
      <c r="U56" s="9"/>
      <c r="V56" s="9"/>
      <c r="W56" s="9"/>
    </row>
    <row r="57" spans="1:23" ht="18" customHeight="1">
      <c r="A57" s="50"/>
      <c r="B57" s="317"/>
      <c r="C57" s="317"/>
      <c r="D57" s="317"/>
      <c r="E57" s="317"/>
      <c r="F57" s="317"/>
      <c r="G57" s="317"/>
      <c r="H57" s="317"/>
      <c r="I57" s="52"/>
      <c r="J57" s="52"/>
      <c r="K57" s="39"/>
      <c r="O57" s="9"/>
      <c r="P57" s="9"/>
      <c r="Q57" s="9"/>
      <c r="R57" s="9"/>
      <c r="S57" s="9"/>
      <c r="T57" s="9"/>
      <c r="U57" s="9"/>
      <c r="V57" s="9"/>
      <c r="W57" s="9"/>
    </row>
    <row r="58" spans="1:23" ht="18" customHeight="1">
      <c r="A58" s="50"/>
      <c r="B58" s="38"/>
      <c r="C58" s="32"/>
      <c r="I58" s="52"/>
      <c r="J58" s="52"/>
      <c r="K58" s="39"/>
      <c r="O58" s="9"/>
      <c r="P58" s="9"/>
      <c r="Q58" s="9"/>
      <c r="R58" s="9"/>
      <c r="S58" s="9"/>
      <c r="T58" s="9"/>
      <c r="U58" s="9"/>
      <c r="V58" s="9"/>
      <c r="W58" s="9"/>
    </row>
    <row r="59" spans="1:23" ht="18" customHeight="1">
      <c r="A59" s="50"/>
      <c r="B59" s="318"/>
      <c r="C59" s="318"/>
      <c r="I59" s="52"/>
      <c r="J59" s="52"/>
      <c r="K59" s="39"/>
      <c r="O59" s="9"/>
      <c r="P59" s="9"/>
      <c r="Q59" s="9"/>
      <c r="R59" s="9"/>
      <c r="S59" s="9"/>
      <c r="T59" s="9"/>
      <c r="U59" s="9"/>
      <c r="V59" s="9"/>
      <c r="W59" s="9"/>
    </row>
    <row r="60" spans="1:23" ht="18" customHeight="1">
      <c r="A60" s="50"/>
      <c r="B60" s="53"/>
      <c r="C60" s="54"/>
      <c r="E60" s="41"/>
      <c r="F60" s="41"/>
      <c r="G60" s="41"/>
      <c r="H60" s="41"/>
      <c r="I60" s="52"/>
      <c r="J60" s="52"/>
      <c r="K60" s="39"/>
      <c r="O60" s="9"/>
      <c r="P60" s="9"/>
      <c r="Q60" s="9"/>
      <c r="R60" s="9"/>
      <c r="S60" s="9"/>
      <c r="T60" s="9"/>
      <c r="U60" s="9"/>
      <c r="V60" s="9"/>
      <c r="W60" s="9"/>
    </row>
    <row r="61" spans="1:23" ht="18" customHeight="1">
      <c r="A61" s="50"/>
      <c r="B61" s="23"/>
      <c r="C61" s="54"/>
      <c r="E61" s="41"/>
      <c r="F61" s="41"/>
      <c r="G61" s="41"/>
      <c r="H61" s="41"/>
      <c r="I61" s="52"/>
      <c r="J61" s="52"/>
      <c r="K61" s="39"/>
      <c r="O61" s="9"/>
      <c r="P61" s="9"/>
      <c r="Q61" s="9"/>
      <c r="R61" s="9"/>
      <c r="S61" s="9"/>
      <c r="T61" s="9"/>
      <c r="U61" s="9"/>
      <c r="V61" s="9"/>
      <c r="W61" s="9"/>
    </row>
    <row r="62" spans="1:23" ht="18" customHeight="1">
      <c r="A62" s="55"/>
      <c r="B62" s="23"/>
      <c r="C62" s="56"/>
      <c r="E62" s="41"/>
      <c r="F62" s="41"/>
      <c r="G62" s="41"/>
      <c r="H62" s="41"/>
      <c r="I62" s="37"/>
      <c r="J62" s="37"/>
      <c r="K62" s="39"/>
      <c r="O62" s="9"/>
      <c r="P62" s="9"/>
      <c r="Q62" s="9"/>
      <c r="R62" s="9"/>
      <c r="S62" s="9"/>
      <c r="T62" s="9"/>
      <c r="U62" s="9"/>
      <c r="V62" s="9"/>
      <c r="W62" s="9"/>
    </row>
    <row r="63" spans="1:23" ht="18" customHeight="1">
      <c r="A63" s="55"/>
      <c r="B63" s="23"/>
      <c r="C63" s="57"/>
      <c r="E63" s="41"/>
      <c r="F63" s="41"/>
      <c r="G63" s="41"/>
      <c r="H63" s="41"/>
      <c r="I63" s="37"/>
      <c r="J63" s="37"/>
      <c r="K63" s="39"/>
      <c r="O63" s="9"/>
      <c r="P63" s="9"/>
      <c r="Q63" s="9"/>
      <c r="R63" s="9"/>
      <c r="S63" s="9"/>
      <c r="T63" s="9"/>
      <c r="U63" s="9"/>
      <c r="V63" s="9"/>
      <c r="W63" s="9"/>
    </row>
    <row r="64" spans="1:23" ht="15">
      <c r="A64" s="7"/>
      <c r="B64" s="23"/>
      <c r="C64" s="56"/>
      <c r="E64" s="41"/>
      <c r="F64" s="41"/>
      <c r="I64" s="58"/>
      <c r="J64" s="37"/>
      <c r="K64" s="39"/>
      <c r="M64" s="39"/>
      <c r="O64" s="9"/>
      <c r="P64" s="9"/>
      <c r="Q64" s="9"/>
      <c r="R64" s="9"/>
      <c r="S64" s="9"/>
      <c r="T64" s="9"/>
      <c r="U64" s="9"/>
      <c r="V64" s="9"/>
      <c r="W64" s="9"/>
    </row>
    <row r="65" spans="1:23" ht="15">
      <c r="A65" s="7"/>
      <c r="B65" s="23"/>
      <c r="C65" s="59"/>
      <c r="D65" s="7"/>
      <c r="E65" s="41"/>
      <c r="F65" s="41"/>
      <c r="I65" s="58"/>
      <c r="J65" s="37"/>
      <c r="K65" s="39"/>
      <c r="M65" s="39"/>
      <c r="O65" s="9"/>
      <c r="P65" s="9"/>
      <c r="Q65" s="9"/>
      <c r="R65" s="9"/>
      <c r="S65" s="9"/>
      <c r="T65" s="9"/>
      <c r="U65" s="9"/>
      <c r="V65" s="9"/>
      <c r="W65" s="9"/>
    </row>
    <row r="66" spans="1:23" ht="15.75">
      <c r="A66" s="7"/>
      <c r="B66" s="60"/>
      <c r="C66" s="60"/>
      <c r="D66" s="60"/>
      <c r="E66" s="60"/>
      <c r="F66" s="60"/>
      <c r="G66" s="60"/>
      <c r="H66" s="60"/>
      <c r="I66" s="58"/>
      <c r="J66" s="37"/>
      <c r="K66" s="39"/>
      <c r="M66" s="39"/>
      <c r="O66" s="9"/>
      <c r="P66" s="9"/>
      <c r="Q66" s="9"/>
      <c r="R66" s="9"/>
      <c r="S66" s="9"/>
      <c r="T66" s="9"/>
      <c r="U66" s="9"/>
      <c r="V66" s="9"/>
      <c r="W66" s="9"/>
    </row>
    <row r="67" spans="1:23" ht="15">
      <c r="A67" s="7"/>
      <c r="B67" s="297"/>
      <c r="C67" s="297"/>
      <c r="D67" s="61"/>
      <c r="E67" s="61"/>
      <c r="F67" s="61"/>
      <c r="G67" s="61"/>
      <c r="H67" s="61"/>
      <c r="I67" s="58"/>
      <c r="J67" s="37"/>
      <c r="K67" s="39"/>
      <c r="M67" s="39"/>
      <c r="O67" s="9"/>
      <c r="P67" s="9"/>
      <c r="Q67" s="9"/>
      <c r="R67" s="9"/>
      <c r="S67" s="9"/>
      <c r="T67" s="9"/>
      <c r="U67" s="9"/>
      <c r="V67" s="9"/>
      <c r="W67" s="9"/>
    </row>
    <row r="68" spans="1:23">
      <c r="A68" s="7"/>
      <c r="B68" s="297"/>
      <c r="C68" s="297"/>
      <c r="D68" s="50"/>
      <c r="E68" s="50"/>
      <c r="F68" s="50"/>
      <c r="G68" s="58"/>
      <c r="H68" s="58"/>
      <c r="I68" s="58"/>
      <c r="J68" s="37"/>
      <c r="K68" s="39"/>
      <c r="M68" s="39"/>
      <c r="O68" s="9"/>
      <c r="P68" s="9"/>
      <c r="Q68" s="9"/>
      <c r="R68" s="9"/>
      <c r="S68" s="9"/>
      <c r="T68" s="9"/>
      <c r="U68" s="9"/>
      <c r="V68" s="9"/>
      <c r="W68" s="9"/>
    </row>
    <row r="69" spans="1:23" ht="15">
      <c r="A69" s="7"/>
      <c r="B69" s="62"/>
      <c r="C69" s="63"/>
      <c r="D69" s="50"/>
      <c r="E69" s="50"/>
      <c r="F69" s="50"/>
      <c r="G69" s="58"/>
      <c r="H69" s="58"/>
      <c r="I69" s="58"/>
      <c r="J69" s="37"/>
      <c r="K69" s="39"/>
      <c r="M69" s="39"/>
      <c r="O69" s="9"/>
      <c r="P69" s="9"/>
      <c r="Q69" s="9"/>
      <c r="R69" s="9"/>
      <c r="S69" s="9"/>
      <c r="T69" s="9"/>
      <c r="U69" s="9"/>
      <c r="V69" s="9"/>
      <c r="W69" s="9"/>
    </row>
    <row r="70" spans="1:23" ht="15">
      <c r="A70" s="7"/>
      <c r="B70" s="62"/>
      <c r="C70" s="64"/>
      <c r="D70" s="50"/>
      <c r="E70" s="50"/>
      <c r="F70" s="50"/>
      <c r="G70" s="58"/>
      <c r="H70" s="58"/>
      <c r="I70" s="58"/>
      <c r="J70" s="37"/>
      <c r="K70" s="39"/>
      <c r="M70" s="39"/>
      <c r="O70" s="9"/>
      <c r="P70" s="9"/>
      <c r="Q70" s="9"/>
      <c r="R70" s="9"/>
      <c r="S70" s="9"/>
      <c r="T70" s="9"/>
      <c r="U70" s="9"/>
      <c r="V70" s="9"/>
      <c r="W70" s="9"/>
    </row>
    <row r="71" spans="1:23" ht="15">
      <c r="A71" s="7"/>
      <c r="B71" s="62"/>
      <c r="C71" s="64"/>
      <c r="D71" s="50"/>
      <c r="E71" s="50"/>
      <c r="F71" s="50"/>
      <c r="G71" s="58"/>
      <c r="H71" s="58"/>
      <c r="I71" s="58"/>
      <c r="J71" s="37"/>
      <c r="O71" s="9"/>
      <c r="P71" s="9"/>
      <c r="Q71" s="9"/>
      <c r="R71" s="9"/>
      <c r="S71" s="9"/>
      <c r="T71" s="9"/>
      <c r="U71" s="9"/>
      <c r="V71" s="9"/>
      <c r="W71" s="9"/>
    </row>
    <row r="72" spans="1:23" ht="15">
      <c r="A72" s="29"/>
      <c r="B72" s="62"/>
      <c r="C72" s="64"/>
      <c r="D72" s="50"/>
      <c r="E72" s="50"/>
      <c r="F72" s="50"/>
      <c r="G72" s="58"/>
      <c r="H72" s="58"/>
      <c r="I72" s="58"/>
      <c r="J72" s="37"/>
      <c r="O72" s="9"/>
      <c r="P72" s="9"/>
      <c r="Q72" s="9"/>
      <c r="R72" s="9"/>
      <c r="S72" s="9"/>
      <c r="T72" s="9"/>
      <c r="U72" s="9"/>
      <c r="V72" s="9"/>
      <c r="W72" s="9"/>
    </row>
    <row r="73" spans="1:23" ht="15">
      <c r="A73" s="7"/>
      <c r="B73" s="295"/>
      <c r="C73" s="295"/>
      <c r="D73" s="295"/>
      <c r="E73" s="295"/>
      <c r="F73" s="295"/>
      <c r="G73" s="295"/>
      <c r="H73" s="295"/>
      <c r="I73" s="66"/>
      <c r="J73" s="67"/>
      <c r="O73" s="9"/>
      <c r="P73" s="9"/>
      <c r="Q73" s="9"/>
      <c r="R73" s="9"/>
      <c r="S73" s="9"/>
      <c r="T73" s="9"/>
      <c r="U73" s="9"/>
      <c r="V73" s="9"/>
      <c r="W73" s="9"/>
    </row>
    <row r="74" spans="1:23" ht="15">
      <c r="A74" s="7"/>
      <c r="B74" s="65"/>
      <c r="C74" s="65"/>
      <c r="D74" s="65"/>
      <c r="E74" s="65"/>
      <c r="F74" s="65"/>
      <c r="G74" s="65"/>
      <c r="H74" s="65"/>
      <c r="I74" s="66"/>
      <c r="J74" s="67"/>
      <c r="O74" s="9"/>
      <c r="P74" s="9"/>
      <c r="Q74" s="9"/>
      <c r="R74" s="9"/>
      <c r="S74" s="9"/>
      <c r="T74" s="9"/>
      <c r="U74" s="9"/>
      <c r="V74" s="9"/>
      <c r="W74" s="9"/>
    </row>
    <row r="75" spans="1:23" ht="15">
      <c r="A75" s="7"/>
      <c r="B75" s="296"/>
      <c r="C75" s="296"/>
      <c r="D75" s="296"/>
      <c r="E75" s="296"/>
      <c r="F75" s="296"/>
      <c r="G75" s="296"/>
      <c r="H75" s="296"/>
      <c r="I75" s="61"/>
      <c r="J75" s="69"/>
      <c r="O75" s="9"/>
      <c r="P75" s="9"/>
      <c r="Q75" s="9"/>
      <c r="R75" s="9"/>
      <c r="S75" s="9"/>
      <c r="T75" s="9"/>
      <c r="U75" s="9"/>
      <c r="V75" s="9"/>
      <c r="W75" s="9"/>
    </row>
    <row r="76" spans="1:23" ht="15">
      <c r="A76" s="7"/>
      <c r="B76" s="68"/>
      <c r="C76" s="68"/>
      <c r="D76" s="68"/>
      <c r="E76" s="68"/>
      <c r="F76" s="68"/>
      <c r="G76" s="68"/>
      <c r="H76" s="68"/>
      <c r="I76" s="70"/>
      <c r="J76" s="70"/>
      <c r="O76" s="9"/>
      <c r="P76" s="9"/>
      <c r="Q76" s="9"/>
      <c r="R76" s="9"/>
      <c r="S76" s="9"/>
      <c r="T76" s="9"/>
      <c r="U76" s="9"/>
      <c r="V76" s="9"/>
      <c r="W76" s="9"/>
    </row>
    <row r="77" spans="1:23">
      <c r="A77" s="7"/>
      <c r="B77" s="24"/>
      <c r="C77" s="24"/>
      <c r="D77" s="24"/>
      <c r="E77" s="24"/>
      <c r="F77" s="24"/>
      <c r="G77" s="24"/>
      <c r="H77" s="24"/>
      <c r="I77" s="32"/>
      <c r="J77" s="32"/>
      <c r="O77" s="9"/>
      <c r="P77" s="9"/>
      <c r="Q77" s="9"/>
      <c r="R77" s="9"/>
      <c r="S77" s="9"/>
      <c r="T77" s="9"/>
      <c r="U77" s="9"/>
      <c r="V77" s="9"/>
      <c r="W77" s="9"/>
    </row>
    <row r="78" spans="1:23">
      <c r="A78" s="7"/>
      <c r="B78" s="24"/>
      <c r="C78" s="24"/>
      <c r="D78" s="24"/>
      <c r="E78" s="24"/>
      <c r="F78" s="24"/>
      <c r="G78" s="24"/>
      <c r="H78" s="24"/>
      <c r="I78" s="32"/>
      <c r="J78" s="32"/>
      <c r="O78" s="9"/>
      <c r="P78" s="9"/>
      <c r="Q78" s="9"/>
      <c r="R78" s="9"/>
      <c r="S78" s="9"/>
      <c r="T78" s="9"/>
      <c r="U78" s="9"/>
      <c r="V78" s="9"/>
      <c r="W78" s="9"/>
    </row>
    <row r="79" spans="1:23">
      <c r="A79" s="7"/>
      <c r="B79" s="24"/>
      <c r="C79" s="24"/>
      <c r="D79" s="24"/>
      <c r="E79" s="24"/>
      <c r="F79" s="24"/>
      <c r="G79" s="24"/>
      <c r="H79" s="24"/>
      <c r="I79" s="32"/>
      <c r="J79" s="32"/>
      <c r="O79" s="9"/>
      <c r="P79" s="9"/>
      <c r="Q79" s="9"/>
      <c r="R79" s="9"/>
      <c r="S79" s="9"/>
      <c r="T79" s="9"/>
      <c r="U79" s="9"/>
      <c r="V79" s="9"/>
      <c r="W79" s="9"/>
    </row>
    <row r="80" spans="1:23">
      <c r="A80" s="7"/>
      <c r="B80" s="24"/>
      <c r="C80" s="24"/>
      <c r="D80" s="24"/>
      <c r="E80" s="24"/>
      <c r="F80" s="24"/>
      <c r="G80" s="24"/>
      <c r="H80" s="24"/>
      <c r="I80" s="32"/>
      <c r="J80" s="32"/>
      <c r="O80" s="9"/>
      <c r="P80" s="9"/>
      <c r="Q80" s="9"/>
      <c r="R80" s="9"/>
      <c r="S80" s="9"/>
      <c r="T80" s="9"/>
      <c r="U80" s="9"/>
      <c r="V80" s="9"/>
      <c r="W80" s="9"/>
    </row>
    <row r="81" spans="1:23" ht="15">
      <c r="A81" s="7"/>
      <c r="B81" s="71"/>
      <c r="C81" s="63"/>
      <c r="D81" s="63"/>
      <c r="E81" s="63"/>
      <c r="F81" s="63"/>
      <c r="G81" s="63"/>
      <c r="H81" s="63"/>
      <c r="I81" s="32"/>
      <c r="J81" s="32"/>
      <c r="O81" s="9"/>
      <c r="P81" s="9"/>
      <c r="Q81" s="9"/>
      <c r="R81" s="9"/>
      <c r="S81" s="9"/>
      <c r="T81" s="9"/>
      <c r="U81" s="9"/>
      <c r="V81" s="9"/>
      <c r="W81" s="9"/>
    </row>
    <row r="82" spans="1:23" ht="15">
      <c r="A82" s="7"/>
      <c r="B82" s="296"/>
      <c r="C82" s="296"/>
      <c r="D82" s="296"/>
      <c r="E82" s="296"/>
      <c r="F82" s="296"/>
      <c r="G82" s="296"/>
      <c r="H82" s="296"/>
      <c r="I82" s="61"/>
      <c r="J82" s="7"/>
      <c r="O82" s="9"/>
      <c r="P82" s="9"/>
      <c r="Q82" s="9"/>
      <c r="R82" s="9"/>
      <c r="S82" s="9"/>
      <c r="T82" s="9"/>
      <c r="U82" s="9"/>
      <c r="V82" s="9"/>
      <c r="W82" s="9"/>
    </row>
    <row r="83" spans="1:23" ht="15">
      <c r="A83" s="7"/>
      <c r="B83" s="72"/>
      <c r="C83" s="68"/>
      <c r="D83" s="68"/>
      <c r="E83" s="68"/>
      <c r="F83" s="68"/>
      <c r="G83" s="68"/>
      <c r="H83" s="68"/>
      <c r="I83" s="70"/>
      <c r="J83" s="7"/>
      <c r="O83" s="9"/>
      <c r="P83" s="9"/>
      <c r="Q83" s="9"/>
      <c r="R83" s="9"/>
      <c r="S83" s="9"/>
      <c r="T83" s="9"/>
      <c r="U83" s="9"/>
      <c r="V83" s="9"/>
      <c r="W83" s="9"/>
    </row>
    <row r="84" spans="1:23" ht="15">
      <c r="A84" s="7"/>
      <c r="B84" s="30"/>
      <c r="C84" s="24"/>
      <c r="D84" s="24"/>
      <c r="E84" s="24"/>
      <c r="F84" s="24"/>
      <c r="G84" s="24"/>
      <c r="H84" s="24"/>
      <c r="I84" s="32"/>
      <c r="J84" s="7"/>
      <c r="O84" s="9"/>
      <c r="P84" s="9"/>
      <c r="Q84" s="9"/>
      <c r="R84" s="9"/>
      <c r="S84" s="9"/>
      <c r="T84" s="9"/>
      <c r="U84" s="9"/>
      <c r="V84" s="9"/>
      <c r="W84" s="9"/>
    </row>
    <row r="85" spans="1:23" ht="15">
      <c r="A85" s="7"/>
      <c r="B85" s="30"/>
      <c r="C85" s="24"/>
      <c r="D85" s="24"/>
      <c r="E85" s="24"/>
      <c r="F85" s="24"/>
      <c r="G85" s="24"/>
      <c r="H85" s="24"/>
      <c r="I85" s="32"/>
      <c r="J85" s="7"/>
      <c r="O85" s="9"/>
      <c r="P85" s="9"/>
      <c r="Q85" s="9"/>
      <c r="R85" s="9"/>
      <c r="S85" s="9"/>
      <c r="T85" s="9"/>
      <c r="U85" s="9"/>
      <c r="V85" s="9"/>
      <c r="W85" s="9"/>
    </row>
    <row r="86" spans="1:23" ht="15">
      <c r="A86" s="7"/>
      <c r="B86" s="30"/>
      <c r="C86" s="73"/>
      <c r="D86" s="73"/>
      <c r="E86" s="73"/>
      <c r="F86" s="73"/>
      <c r="G86" s="73"/>
      <c r="H86" s="73"/>
      <c r="I86" s="50"/>
      <c r="J86" s="7"/>
      <c r="O86" s="9"/>
      <c r="P86" s="9"/>
      <c r="Q86" s="9"/>
      <c r="R86" s="9"/>
      <c r="S86" s="9"/>
      <c r="T86" s="9"/>
      <c r="U86" s="9"/>
      <c r="V86" s="9"/>
      <c r="W86" s="9"/>
    </row>
    <row r="87" spans="1:23" ht="15">
      <c r="A87" s="7"/>
      <c r="B87" s="51"/>
      <c r="C87" s="50"/>
      <c r="D87" s="50"/>
      <c r="E87" s="50"/>
      <c r="F87" s="50"/>
      <c r="G87" s="50"/>
      <c r="H87" s="50"/>
      <c r="I87" s="50"/>
      <c r="J87" s="7"/>
      <c r="O87" s="9"/>
      <c r="P87" s="9"/>
      <c r="Q87" s="9"/>
      <c r="R87" s="9"/>
      <c r="S87" s="9"/>
      <c r="T87" s="9"/>
      <c r="U87" s="9"/>
      <c r="V87" s="9"/>
      <c r="W87" s="9"/>
    </row>
    <row r="88" spans="1:23" ht="15">
      <c r="A88" s="7"/>
      <c r="B88" s="319"/>
      <c r="C88" s="319"/>
      <c r="D88" s="319"/>
      <c r="E88" s="319"/>
      <c r="F88" s="319"/>
      <c r="G88" s="319"/>
      <c r="H88" s="319"/>
      <c r="I88" s="319"/>
      <c r="J88" s="7"/>
      <c r="O88" s="9"/>
      <c r="P88" s="9"/>
      <c r="Q88" s="9"/>
      <c r="R88" s="9"/>
      <c r="S88" s="9"/>
      <c r="T88" s="9"/>
      <c r="U88" s="9"/>
      <c r="V88" s="9"/>
      <c r="W88" s="9"/>
    </row>
    <row r="89" spans="1:23" ht="14.25" customHeight="1">
      <c r="A89" s="7"/>
      <c r="B89" s="50"/>
      <c r="C89" s="50"/>
      <c r="D89" s="50"/>
      <c r="E89" s="50"/>
      <c r="F89" s="50"/>
      <c r="G89" s="50"/>
      <c r="H89" s="50"/>
      <c r="I89" s="50"/>
      <c r="J89" s="7"/>
      <c r="O89" s="9"/>
      <c r="P89" s="9"/>
      <c r="Q89" s="9"/>
      <c r="R89" s="9"/>
      <c r="S89" s="9"/>
      <c r="T89" s="9"/>
      <c r="U89" s="9"/>
      <c r="V89" s="9"/>
      <c r="W89" s="9"/>
    </row>
    <row r="90" spans="1:23" ht="15">
      <c r="A90" s="7"/>
      <c r="B90" s="295"/>
      <c r="C90" s="295"/>
      <c r="D90" s="50"/>
      <c r="E90" s="50"/>
      <c r="F90" s="50"/>
      <c r="G90" s="50"/>
      <c r="H90" s="50"/>
      <c r="I90" s="50"/>
      <c r="J90" s="7"/>
      <c r="O90" s="9"/>
      <c r="P90" s="9"/>
      <c r="Q90" s="9"/>
      <c r="R90" s="9"/>
      <c r="S90" s="9"/>
      <c r="T90" s="9"/>
      <c r="U90" s="9"/>
      <c r="V90" s="9"/>
      <c r="W90" s="9"/>
    </row>
    <row r="91" spans="1:23" ht="15">
      <c r="A91" s="7"/>
      <c r="B91" s="62"/>
      <c r="C91" s="24"/>
      <c r="D91" s="50"/>
      <c r="E91" s="50"/>
      <c r="F91" s="50"/>
      <c r="G91" s="50"/>
      <c r="H91" s="50"/>
      <c r="I91" s="50"/>
      <c r="J91" s="7"/>
      <c r="O91" s="9"/>
      <c r="P91" s="9"/>
      <c r="Q91" s="9"/>
      <c r="R91" s="9"/>
      <c r="S91" s="9"/>
      <c r="T91" s="9"/>
      <c r="U91" s="9"/>
      <c r="V91" s="9"/>
      <c r="W91" s="9"/>
    </row>
    <row r="92" spans="1:23" ht="15">
      <c r="A92" s="7"/>
      <c r="B92" s="62"/>
      <c r="C92" s="73"/>
      <c r="D92" s="50"/>
      <c r="E92" s="50"/>
      <c r="F92" s="50"/>
      <c r="G92" s="50"/>
      <c r="H92" s="50"/>
      <c r="I92" s="50"/>
      <c r="J92" s="7"/>
      <c r="O92" s="9"/>
      <c r="P92" s="9"/>
      <c r="Q92" s="9"/>
      <c r="R92" s="9"/>
      <c r="S92" s="9"/>
      <c r="T92" s="9"/>
      <c r="U92" s="9"/>
      <c r="V92" s="9"/>
      <c r="W92" s="9"/>
    </row>
    <row r="93" spans="1:23" ht="15">
      <c r="A93" s="7"/>
      <c r="B93" s="71"/>
      <c r="C93" s="73"/>
      <c r="D93" s="50"/>
      <c r="E93" s="50"/>
      <c r="F93" s="50"/>
      <c r="G93" s="50"/>
      <c r="H93" s="50"/>
      <c r="I93" s="50"/>
      <c r="J93" s="7"/>
      <c r="O93" s="9"/>
      <c r="P93" s="9"/>
      <c r="Q93" s="9"/>
      <c r="R93" s="9"/>
      <c r="S93" s="9"/>
      <c r="T93" s="9"/>
      <c r="U93" s="9"/>
      <c r="V93" s="9"/>
      <c r="W93" s="9"/>
    </row>
    <row r="94" spans="1:23" ht="15">
      <c r="A94" s="7"/>
      <c r="B94" s="71"/>
      <c r="C94" s="24"/>
      <c r="D94" s="50"/>
      <c r="E94" s="50"/>
      <c r="F94" s="50"/>
      <c r="G94" s="50"/>
      <c r="H94" s="50"/>
      <c r="I94" s="50"/>
      <c r="J94" s="7"/>
      <c r="O94" s="9"/>
      <c r="P94" s="9"/>
      <c r="Q94" s="9"/>
      <c r="R94" s="9"/>
      <c r="S94" s="9"/>
      <c r="T94" s="9"/>
      <c r="U94" s="9"/>
      <c r="V94" s="9"/>
      <c r="W94" s="9"/>
    </row>
    <row r="95" spans="1:23">
      <c r="A95" s="7"/>
      <c r="B95" s="50"/>
      <c r="C95" s="50"/>
      <c r="D95" s="50"/>
      <c r="E95" s="50"/>
      <c r="F95" s="50"/>
      <c r="G95" s="50"/>
      <c r="H95" s="50"/>
      <c r="I95" s="50"/>
      <c r="J95" s="7"/>
      <c r="O95" s="9"/>
      <c r="P95" s="9"/>
      <c r="Q95" s="9"/>
      <c r="R95" s="9"/>
      <c r="S95" s="9"/>
      <c r="T95" s="9"/>
      <c r="U95" s="9"/>
      <c r="V95" s="9"/>
      <c r="W95" s="9"/>
    </row>
    <row r="96" spans="1:23">
      <c r="A96" s="7"/>
      <c r="B96" s="50"/>
      <c r="C96" s="50"/>
      <c r="D96" s="50"/>
      <c r="E96" s="50"/>
      <c r="F96" s="50"/>
      <c r="G96" s="50"/>
      <c r="H96" s="50"/>
      <c r="I96" s="50"/>
      <c r="J96" s="7"/>
      <c r="O96" s="9"/>
      <c r="P96" s="9"/>
      <c r="Q96" s="9"/>
      <c r="R96" s="9"/>
      <c r="S96" s="9"/>
      <c r="T96" s="9"/>
      <c r="U96" s="9"/>
      <c r="V96" s="9"/>
      <c r="W96" s="9"/>
    </row>
    <row r="97" spans="1:23">
      <c r="A97" s="7"/>
      <c r="B97" s="50"/>
      <c r="C97" s="50"/>
      <c r="D97" s="50"/>
      <c r="E97" s="50"/>
      <c r="F97" s="50"/>
      <c r="G97" s="50"/>
      <c r="H97" s="50"/>
      <c r="I97" s="50"/>
      <c r="J97" s="7"/>
      <c r="O97" s="9"/>
      <c r="P97" s="9"/>
      <c r="Q97" s="9"/>
      <c r="R97" s="9"/>
      <c r="S97" s="9"/>
      <c r="T97" s="9"/>
      <c r="U97" s="9"/>
      <c r="V97" s="9"/>
      <c r="W97" s="9"/>
    </row>
    <row r="98" spans="1:23">
      <c r="A98" s="7"/>
      <c r="B98" s="50"/>
      <c r="C98" s="50"/>
      <c r="D98" s="50"/>
      <c r="E98" s="50"/>
      <c r="F98" s="50"/>
      <c r="G98" s="50"/>
      <c r="H98" s="50"/>
      <c r="I98" s="50"/>
      <c r="J98" s="7"/>
      <c r="O98" s="9"/>
      <c r="P98" s="9"/>
      <c r="Q98" s="9"/>
      <c r="R98" s="9"/>
      <c r="S98" s="9"/>
      <c r="T98" s="9"/>
      <c r="U98" s="9"/>
      <c r="V98" s="9"/>
      <c r="W98" s="9"/>
    </row>
    <row r="99" spans="1:23">
      <c r="A99" s="7"/>
      <c r="B99" s="50"/>
      <c r="C99" s="50"/>
      <c r="D99" s="50"/>
      <c r="E99" s="50"/>
      <c r="F99" s="50"/>
      <c r="G99" s="50"/>
      <c r="H99" s="50"/>
      <c r="I99" s="50"/>
      <c r="J99" s="7"/>
      <c r="O99" s="9"/>
      <c r="P99" s="9"/>
      <c r="Q99" s="9"/>
      <c r="R99" s="9"/>
      <c r="S99" s="9"/>
      <c r="T99" s="9"/>
      <c r="U99" s="9"/>
      <c r="V99" s="9"/>
      <c r="W99" s="9"/>
    </row>
    <row r="100" spans="1:23">
      <c r="A100" s="7"/>
      <c r="B100" s="50"/>
      <c r="C100" s="50"/>
      <c r="D100" s="50"/>
      <c r="E100" s="50"/>
      <c r="F100" s="50"/>
      <c r="G100" s="50"/>
      <c r="H100" s="50"/>
      <c r="I100" s="50"/>
      <c r="J100" s="7"/>
      <c r="O100" s="9"/>
      <c r="P100" s="9"/>
      <c r="Q100" s="9"/>
      <c r="R100" s="9"/>
      <c r="S100" s="9"/>
      <c r="T100" s="9"/>
      <c r="U100" s="9"/>
      <c r="V100" s="9"/>
      <c r="W100" s="9"/>
    </row>
    <row r="101" spans="1:23">
      <c r="B101" s="74"/>
      <c r="C101" s="75"/>
      <c r="D101" s="76"/>
      <c r="E101" s="77"/>
      <c r="O101" s="9"/>
      <c r="P101" s="9"/>
      <c r="Q101" s="9"/>
      <c r="R101" s="9"/>
      <c r="S101" s="9"/>
      <c r="T101" s="9"/>
      <c r="U101" s="9"/>
      <c r="V101" s="9"/>
      <c r="W101" s="9"/>
    </row>
    <row r="102" spans="1:23">
      <c r="B102" s="74"/>
      <c r="C102" s="75"/>
      <c r="D102" s="76"/>
      <c r="E102" s="77"/>
      <c r="O102" s="9"/>
      <c r="P102" s="9"/>
      <c r="Q102" s="9"/>
      <c r="R102" s="9"/>
      <c r="S102" s="9"/>
      <c r="T102" s="9"/>
      <c r="U102" s="9"/>
      <c r="V102" s="9"/>
      <c r="W102" s="9"/>
    </row>
    <row r="103" spans="1:23">
      <c r="B103" s="74"/>
      <c r="C103" s="75"/>
      <c r="D103" s="76"/>
      <c r="E103" s="77"/>
      <c r="O103" s="9"/>
      <c r="P103" s="9"/>
      <c r="Q103" s="9"/>
      <c r="R103" s="9"/>
      <c r="S103" s="9"/>
      <c r="T103" s="9"/>
      <c r="U103" s="9"/>
      <c r="V103" s="9"/>
      <c r="W103" s="9"/>
    </row>
    <row r="104" spans="1:23">
      <c r="B104" s="74"/>
      <c r="C104" s="75"/>
      <c r="D104" s="76"/>
      <c r="E104" s="77"/>
      <c r="O104" s="9"/>
      <c r="P104" s="9"/>
      <c r="Q104" s="9"/>
      <c r="R104" s="9"/>
      <c r="S104" s="9"/>
      <c r="T104" s="9"/>
      <c r="U104" s="9"/>
      <c r="V104" s="9"/>
      <c r="W104" s="9"/>
    </row>
    <row r="105" spans="1:23">
      <c r="B105" s="74"/>
      <c r="C105" s="75"/>
      <c r="D105" s="76"/>
      <c r="E105" s="77"/>
      <c r="O105" s="9"/>
      <c r="P105" s="9"/>
      <c r="Q105" s="9"/>
      <c r="R105" s="9"/>
      <c r="S105" s="9"/>
      <c r="T105" s="9"/>
      <c r="U105" s="9"/>
      <c r="V105" s="9"/>
      <c r="W105" s="9"/>
    </row>
    <row r="106" spans="1:23">
      <c r="B106" s="74"/>
      <c r="C106" s="75"/>
      <c r="D106" s="76"/>
      <c r="E106" s="77"/>
      <c r="O106" s="9"/>
      <c r="P106" s="9"/>
      <c r="Q106" s="9"/>
      <c r="R106" s="9"/>
      <c r="S106" s="9"/>
      <c r="T106" s="9"/>
      <c r="U106" s="9"/>
      <c r="V106" s="9"/>
      <c r="W106" s="9"/>
    </row>
    <row r="107" spans="1:23">
      <c r="B107" s="74"/>
      <c r="C107" s="75"/>
      <c r="D107" s="76"/>
      <c r="E107" s="77"/>
      <c r="O107" s="9"/>
      <c r="P107" s="9"/>
      <c r="Q107" s="9"/>
      <c r="R107" s="9"/>
      <c r="S107" s="9"/>
      <c r="T107" s="9"/>
      <c r="U107" s="9"/>
      <c r="V107" s="9"/>
      <c r="W107" s="9"/>
    </row>
    <row r="108" spans="1:23">
      <c r="B108" s="74"/>
      <c r="C108" s="75"/>
      <c r="D108" s="76"/>
      <c r="E108" s="77"/>
      <c r="O108" s="9"/>
      <c r="P108" s="9"/>
      <c r="Q108" s="9"/>
      <c r="R108" s="9"/>
      <c r="S108" s="9"/>
      <c r="T108" s="9"/>
      <c r="U108" s="9"/>
      <c r="V108" s="9"/>
      <c r="W108" s="9"/>
    </row>
    <row r="109" spans="1:23">
      <c r="B109" s="74"/>
      <c r="C109" s="75"/>
      <c r="D109" s="76"/>
      <c r="E109" s="77"/>
      <c r="O109" s="9"/>
      <c r="P109" s="9"/>
      <c r="Q109" s="9"/>
      <c r="R109" s="9"/>
      <c r="S109" s="9"/>
      <c r="T109" s="9"/>
      <c r="U109" s="9"/>
      <c r="V109" s="9"/>
      <c r="W109" s="9"/>
    </row>
    <row r="110" spans="1:23">
      <c r="B110" s="74"/>
      <c r="C110" s="75"/>
      <c r="D110" s="76"/>
      <c r="E110" s="77"/>
      <c r="O110" s="9"/>
      <c r="P110" s="9"/>
      <c r="Q110" s="9"/>
      <c r="R110" s="9"/>
      <c r="S110" s="9"/>
      <c r="T110" s="9"/>
      <c r="U110" s="9"/>
      <c r="V110" s="9"/>
      <c r="W110" s="9"/>
    </row>
    <row r="111" spans="1:23">
      <c r="A111" s="78"/>
      <c r="B111" s="74"/>
      <c r="C111" s="75"/>
      <c r="D111" s="76"/>
      <c r="E111" s="77"/>
      <c r="O111" s="9"/>
      <c r="P111" s="9"/>
      <c r="Q111" s="9"/>
      <c r="R111" s="9"/>
      <c r="S111" s="9"/>
      <c r="T111" s="9"/>
      <c r="U111" s="9"/>
      <c r="V111" s="9"/>
      <c r="W111" s="9"/>
    </row>
    <row r="112" spans="1:23">
      <c r="B112" s="74"/>
      <c r="C112" s="75"/>
      <c r="D112" s="76"/>
      <c r="E112" s="77"/>
      <c r="O112" s="9"/>
      <c r="P112" s="9"/>
      <c r="Q112" s="9"/>
      <c r="R112" s="9"/>
      <c r="S112" s="9"/>
      <c r="T112" s="9"/>
      <c r="U112" s="9"/>
      <c r="V112" s="9"/>
      <c r="W112" s="9"/>
    </row>
    <row r="113" spans="1:23">
      <c r="B113" s="74"/>
      <c r="C113" s="75"/>
      <c r="D113" s="76"/>
      <c r="E113" s="77"/>
      <c r="O113" s="9"/>
      <c r="P113" s="9"/>
      <c r="Q113" s="9"/>
      <c r="R113" s="9"/>
      <c r="S113" s="9"/>
      <c r="T113" s="9"/>
      <c r="U113" s="9"/>
      <c r="V113" s="9"/>
      <c r="W113" s="9"/>
    </row>
    <row r="114" spans="1:23">
      <c r="B114" s="74"/>
      <c r="C114" s="75"/>
      <c r="D114" s="76"/>
      <c r="E114" s="77"/>
      <c r="O114" s="9"/>
      <c r="P114" s="9"/>
      <c r="Q114" s="9"/>
      <c r="R114" s="9"/>
      <c r="S114" s="9"/>
      <c r="T114" s="9"/>
      <c r="U114" s="9"/>
      <c r="V114" s="9"/>
      <c r="W114" s="9"/>
    </row>
    <row r="115" spans="1:23">
      <c r="B115" s="74"/>
      <c r="C115" s="75"/>
      <c r="D115" s="76"/>
      <c r="E115" s="77"/>
      <c r="O115" s="9"/>
      <c r="P115" s="9"/>
      <c r="Q115" s="9"/>
      <c r="R115" s="9"/>
      <c r="S115" s="9"/>
      <c r="T115" s="9"/>
      <c r="U115" s="9"/>
      <c r="V115" s="9"/>
      <c r="W115" s="9"/>
    </row>
    <row r="116" spans="1:23">
      <c r="B116" s="74"/>
      <c r="C116" s="75"/>
      <c r="D116" s="76"/>
      <c r="E116" s="77"/>
      <c r="O116" s="9"/>
      <c r="P116" s="9"/>
      <c r="Q116" s="9"/>
      <c r="R116" s="9"/>
      <c r="S116" s="9"/>
      <c r="T116" s="9"/>
      <c r="U116" s="9"/>
      <c r="V116" s="9"/>
      <c r="W116" s="9"/>
    </row>
    <row r="117" spans="1:23">
      <c r="B117" s="79"/>
      <c r="C117" s="75"/>
      <c r="D117" s="76"/>
      <c r="E117" s="77"/>
      <c r="O117" s="9"/>
      <c r="P117" s="9"/>
      <c r="Q117" s="9"/>
      <c r="R117" s="9"/>
      <c r="S117" s="9"/>
      <c r="T117" s="9"/>
      <c r="U117" s="9"/>
      <c r="V117" s="9"/>
      <c r="W117" s="9"/>
    </row>
    <row r="118" spans="1:23">
      <c r="B118" s="79"/>
      <c r="C118" s="75"/>
      <c r="D118" s="76"/>
      <c r="E118" s="77"/>
      <c r="O118" s="9"/>
      <c r="P118" s="9"/>
      <c r="Q118" s="9"/>
      <c r="R118" s="9"/>
      <c r="S118" s="9"/>
      <c r="T118" s="9"/>
      <c r="U118" s="9"/>
      <c r="V118" s="9"/>
      <c r="W118" s="9"/>
    </row>
    <row r="119" spans="1:23">
      <c r="B119" s="79"/>
      <c r="C119" s="75"/>
      <c r="D119" s="76"/>
      <c r="E119" s="77"/>
      <c r="O119" s="9"/>
      <c r="P119" s="9"/>
      <c r="Q119" s="9"/>
      <c r="R119" s="9"/>
      <c r="S119" s="9"/>
      <c r="T119" s="9"/>
      <c r="U119" s="9"/>
      <c r="V119" s="9"/>
      <c r="W119" s="9"/>
    </row>
    <row r="120" spans="1:23" ht="15.75">
      <c r="A120" s="78"/>
      <c r="B120" s="75"/>
      <c r="E120" s="76"/>
      <c r="G120" s="80"/>
      <c r="O120" s="9"/>
      <c r="P120" s="9"/>
      <c r="Q120" s="9"/>
      <c r="R120" s="9"/>
      <c r="S120" s="9"/>
      <c r="T120" s="9"/>
      <c r="U120" s="9"/>
      <c r="V120" s="9"/>
      <c r="W120" s="9"/>
    </row>
    <row r="121" spans="1:23">
      <c r="A121" s="78"/>
      <c r="B121" s="75"/>
      <c r="C121" s="75"/>
      <c r="F121" s="81"/>
      <c r="O121" s="9"/>
      <c r="P121" s="9"/>
      <c r="Q121" s="9"/>
      <c r="R121" s="9"/>
      <c r="S121" s="9"/>
      <c r="T121" s="9"/>
      <c r="U121" s="9"/>
      <c r="V121" s="9"/>
      <c r="W121" s="9"/>
    </row>
    <row r="122" spans="1:23" ht="15.75">
      <c r="B122" s="82"/>
      <c r="C122" s="75"/>
      <c r="D122" s="83"/>
      <c r="E122" s="84"/>
      <c r="F122" s="85"/>
      <c r="G122" s="84"/>
      <c r="H122" s="83"/>
      <c r="O122" s="9"/>
      <c r="P122" s="9"/>
      <c r="Q122" s="9"/>
      <c r="R122" s="9"/>
      <c r="S122" s="9"/>
      <c r="T122" s="9"/>
      <c r="U122" s="9"/>
      <c r="V122" s="9"/>
      <c r="W122" s="9"/>
    </row>
    <row r="123" spans="1:23">
      <c r="O123" s="9"/>
      <c r="P123" s="9"/>
      <c r="Q123" s="9"/>
      <c r="R123" s="9"/>
      <c r="S123" s="9"/>
      <c r="T123" s="9"/>
      <c r="U123" s="9"/>
      <c r="V123" s="9"/>
      <c r="W123" s="9"/>
    </row>
    <row r="124" spans="1:23">
      <c r="O124" s="9"/>
      <c r="P124" s="9"/>
      <c r="Q124" s="9"/>
      <c r="R124" s="9"/>
      <c r="S124" s="9"/>
      <c r="T124" s="9"/>
      <c r="U124" s="9"/>
      <c r="V124" s="9"/>
      <c r="W124" s="9"/>
    </row>
    <row r="125" spans="1:23">
      <c r="O125" s="9"/>
      <c r="P125" s="9"/>
      <c r="Q125" s="9"/>
      <c r="R125" s="9"/>
      <c r="S125" s="9"/>
      <c r="T125" s="9"/>
      <c r="U125" s="9"/>
      <c r="V125" s="9"/>
      <c r="W125" s="9"/>
    </row>
    <row r="126" spans="1:23">
      <c r="O126" s="9"/>
      <c r="P126" s="9"/>
      <c r="Q126" s="9"/>
      <c r="R126" s="9"/>
      <c r="S126" s="9"/>
      <c r="T126" s="9"/>
      <c r="U126" s="9"/>
      <c r="V126" s="9"/>
      <c r="W126" s="9"/>
    </row>
    <row r="127" spans="1:23">
      <c r="O127" s="9"/>
      <c r="P127" s="9"/>
      <c r="Q127" s="9"/>
      <c r="R127" s="9"/>
      <c r="S127" s="9"/>
      <c r="T127" s="9"/>
      <c r="U127" s="9"/>
      <c r="V127" s="9"/>
      <c r="W127" s="9"/>
    </row>
    <row r="128" spans="1:23">
      <c r="O128" s="9"/>
      <c r="P128" s="9"/>
      <c r="Q128" s="9"/>
      <c r="R128" s="9"/>
      <c r="S128" s="9"/>
      <c r="T128" s="9"/>
      <c r="U128" s="9"/>
      <c r="V128" s="9"/>
      <c r="W128" s="9"/>
    </row>
    <row r="129" spans="1:23" ht="15.75">
      <c r="A129" s="86"/>
      <c r="O129" s="9"/>
      <c r="P129" s="9"/>
      <c r="Q129" s="9"/>
      <c r="R129" s="9"/>
      <c r="S129" s="9"/>
      <c r="T129" s="9"/>
      <c r="U129" s="9"/>
      <c r="V129" s="9"/>
      <c r="W129" s="9"/>
    </row>
    <row r="130" spans="1:23">
      <c r="O130" s="9"/>
      <c r="P130" s="9"/>
      <c r="Q130" s="9"/>
      <c r="R130" s="9"/>
      <c r="S130" s="9"/>
      <c r="T130" s="9"/>
      <c r="U130" s="9"/>
      <c r="V130" s="9"/>
      <c r="W130" s="9"/>
    </row>
    <row r="131" spans="1:23" ht="15.75">
      <c r="E131" s="86"/>
      <c r="F131" s="87"/>
      <c r="G131" s="86"/>
      <c r="H131" s="86"/>
      <c r="O131" s="9"/>
      <c r="P131" s="9"/>
      <c r="Q131" s="9"/>
      <c r="R131" s="9"/>
      <c r="S131" s="9"/>
      <c r="T131" s="9"/>
      <c r="U131" s="9"/>
      <c r="V131" s="9"/>
      <c r="W131" s="9"/>
    </row>
    <row r="132" spans="1:23" ht="15.75">
      <c r="E132" s="86"/>
      <c r="F132" s="87"/>
      <c r="G132" s="86"/>
      <c r="H132" s="86"/>
      <c r="O132" s="9"/>
      <c r="P132" s="9"/>
      <c r="Q132" s="9"/>
      <c r="R132" s="9"/>
      <c r="S132" s="9"/>
      <c r="T132" s="9"/>
      <c r="U132" s="9"/>
      <c r="V132" s="9"/>
      <c r="W132" s="9"/>
    </row>
    <row r="133" spans="1:23">
      <c r="O133" s="9"/>
      <c r="P133" s="9"/>
      <c r="Q133" s="9"/>
      <c r="R133" s="9"/>
      <c r="S133" s="9"/>
      <c r="T133" s="9"/>
      <c r="U133" s="9"/>
      <c r="V133" s="9"/>
      <c r="W133" s="9"/>
    </row>
    <row r="134" spans="1:23">
      <c r="A134" s="307"/>
      <c r="B134" s="307"/>
      <c r="C134" s="307"/>
      <c r="D134" s="308"/>
      <c r="E134" s="308"/>
      <c r="F134" s="308"/>
      <c r="G134" s="308"/>
      <c r="H134" s="308"/>
      <c r="I134" s="308"/>
      <c r="J134" s="308"/>
      <c r="O134" s="9"/>
      <c r="P134" s="9"/>
      <c r="Q134" s="9"/>
      <c r="R134" s="9"/>
      <c r="S134" s="9"/>
      <c r="T134" s="9"/>
      <c r="U134" s="9"/>
      <c r="V134" s="9"/>
      <c r="W134" s="9"/>
    </row>
    <row r="135" spans="1:23">
      <c r="A135" s="307"/>
      <c r="B135" s="307"/>
      <c r="C135" s="307"/>
      <c r="D135" s="308"/>
      <c r="E135" s="307"/>
      <c r="F135" s="307"/>
      <c r="G135" s="307"/>
      <c r="H135" s="307"/>
      <c r="I135" s="307"/>
      <c r="J135" s="307"/>
      <c r="O135" s="9"/>
      <c r="P135" s="9"/>
      <c r="Q135" s="9"/>
      <c r="R135" s="9"/>
      <c r="S135" s="9"/>
      <c r="T135" s="9"/>
      <c r="U135" s="9"/>
      <c r="V135" s="9"/>
      <c r="W135" s="9"/>
    </row>
    <row r="136" spans="1:23" ht="15.75">
      <c r="A136" s="88"/>
      <c r="B136" s="307"/>
      <c r="C136" s="307"/>
      <c r="D136" s="88"/>
      <c r="E136" s="307"/>
      <c r="F136" s="307"/>
      <c r="G136" s="307"/>
      <c r="H136" s="307"/>
      <c r="I136" s="307"/>
      <c r="J136" s="307"/>
      <c r="O136" s="9"/>
      <c r="P136" s="9"/>
      <c r="Q136" s="9"/>
      <c r="R136" s="87"/>
      <c r="S136" s="9"/>
      <c r="T136" s="9"/>
      <c r="U136" s="9"/>
      <c r="V136" s="9"/>
      <c r="W136" s="9"/>
    </row>
    <row r="137" spans="1:23" ht="15.75">
      <c r="O137" s="9"/>
      <c r="P137" s="9"/>
      <c r="Q137" s="9"/>
      <c r="R137" s="87"/>
      <c r="S137" s="9"/>
      <c r="T137" s="9"/>
      <c r="U137" s="9"/>
      <c r="V137" s="9"/>
      <c r="W137" s="9"/>
    </row>
    <row r="138" spans="1:23">
      <c r="B138" s="39"/>
      <c r="C138" s="39"/>
      <c r="E138" s="39"/>
      <c r="F138" s="39"/>
      <c r="G138" s="39"/>
      <c r="H138" s="39"/>
      <c r="I138" s="39"/>
      <c r="J138" s="39"/>
      <c r="O138" s="9"/>
      <c r="P138" s="9"/>
      <c r="Q138" s="9"/>
      <c r="R138" s="9"/>
      <c r="S138" s="9"/>
      <c r="T138" s="9"/>
      <c r="U138" s="9"/>
      <c r="V138" s="9"/>
      <c r="W138" s="9"/>
    </row>
    <row r="139" spans="1:23">
      <c r="K139" s="39"/>
      <c r="L139" s="39"/>
      <c r="O139" s="89"/>
      <c r="P139" s="89"/>
      <c r="Q139" s="89"/>
      <c r="R139" s="89"/>
      <c r="S139" s="89"/>
      <c r="T139" s="89"/>
      <c r="U139" s="89"/>
      <c r="V139" s="89"/>
      <c r="W139" s="89"/>
    </row>
    <row r="140" spans="1:23" ht="18">
      <c r="A140" s="90"/>
      <c r="B140" s="73"/>
      <c r="C140" s="73"/>
      <c r="D140" s="91"/>
      <c r="E140" s="73"/>
      <c r="F140" s="73"/>
      <c r="G140" s="73"/>
      <c r="H140" s="73"/>
      <c r="I140" s="73"/>
      <c r="J140" s="73"/>
      <c r="K140" s="73"/>
      <c r="L140" s="73"/>
      <c r="N140" s="90"/>
      <c r="O140" s="92"/>
      <c r="P140" s="92"/>
      <c r="Q140" s="92"/>
      <c r="R140" s="92"/>
      <c r="S140" s="92"/>
      <c r="T140" s="92"/>
      <c r="U140" s="92"/>
      <c r="V140" s="92"/>
      <c r="W140" s="92"/>
    </row>
    <row r="141" spans="1:23" ht="18">
      <c r="A141" s="90"/>
      <c r="B141" s="73"/>
      <c r="C141" s="73"/>
      <c r="D141" s="91"/>
      <c r="E141" s="73"/>
      <c r="F141" s="73"/>
      <c r="G141" s="73"/>
      <c r="H141" s="73"/>
      <c r="I141" s="73"/>
      <c r="J141" s="73"/>
      <c r="K141" s="73"/>
      <c r="L141" s="73"/>
      <c r="N141" s="90"/>
      <c r="O141" s="92"/>
      <c r="P141" s="92"/>
      <c r="Q141" s="92"/>
      <c r="R141" s="92"/>
      <c r="S141" s="92"/>
      <c r="T141" s="92"/>
      <c r="U141" s="92"/>
      <c r="V141" s="92"/>
      <c r="W141" s="92"/>
    </row>
    <row r="142" spans="1:23" ht="18">
      <c r="A142" s="90"/>
      <c r="B142" s="73"/>
      <c r="C142" s="73"/>
      <c r="D142" s="91"/>
      <c r="E142" s="73"/>
      <c r="F142" s="73"/>
      <c r="G142" s="73"/>
      <c r="H142" s="73"/>
      <c r="I142" s="73"/>
      <c r="J142" s="73"/>
      <c r="K142" s="73"/>
      <c r="L142" s="73"/>
      <c r="N142" s="90"/>
      <c r="O142" s="92"/>
      <c r="P142" s="92"/>
      <c r="Q142" s="92"/>
      <c r="R142" s="92"/>
      <c r="S142" s="92"/>
      <c r="T142" s="92"/>
      <c r="U142" s="92"/>
      <c r="V142" s="92"/>
      <c r="W142" s="92"/>
    </row>
    <row r="143" spans="1:23" ht="18">
      <c r="A143" s="90"/>
      <c r="B143" s="73"/>
      <c r="C143" s="73"/>
      <c r="D143" s="91"/>
      <c r="E143" s="73"/>
      <c r="F143" s="73"/>
      <c r="G143" s="73"/>
      <c r="H143" s="73"/>
      <c r="I143" s="73"/>
      <c r="J143" s="73"/>
      <c r="K143" s="73"/>
      <c r="L143" s="73"/>
      <c r="N143" s="90"/>
      <c r="O143" s="92"/>
      <c r="P143" s="92"/>
      <c r="Q143" s="92"/>
      <c r="R143" s="92"/>
      <c r="S143" s="92"/>
      <c r="T143" s="92"/>
      <c r="U143" s="92"/>
      <c r="V143" s="92"/>
      <c r="W143" s="92"/>
    </row>
    <row r="144" spans="1:23" ht="18">
      <c r="A144" s="90"/>
      <c r="B144" s="73"/>
      <c r="C144" s="73"/>
      <c r="D144" s="91"/>
      <c r="E144" s="73"/>
      <c r="F144" s="73"/>
      <c r="G144" s="73"/>
      <c r="H144" s="73"/>
      <c r="I144" s="73"/>
      <c r="J144" s="73"/>
      <c r="K144" s="73"/>
      <c r="L144" s="73"/>
      <c r="N144" s="90"/>
      <c r="O144" s="92"/>
      <c r="P144" s="92"/>
      <c r="Q144" s="92"/>
      <c r="R144" s="92"/>
      <c r="S144" s="92"/>
      <c r="T144" s="92"/>
      <c r="U144" s="92"/>
      <c r="V144" s="92"/>
      <c r="W144" s="92"/>
    </row>
    <row r="145" spans="1:23" ht="18">
      <c r="A145" s="90"/>
      <c r="B145" s="73"/>
      <c r="C145" s="73"/>
      <c r="D145" s="91"/>
      <c r="E145" s="73"/>
      <c r="F145" s="73"/>
      <c r="G145" s="73"/>
      <c r="H145" s="73"/>
      <c r="I145" s="73"/>
      <c r="J145" s="73"/>
      <c r="K145" s="73"/>
      <c r="L145" s="73"/>
      <c r="N145" s="90"/>
      <c r="O145" s="92"/>
      <c r="P145" s="92"/>
      <c r="Q145" s="92"/>
      <c r="R145" s="92"/>
      <c r="S145" s="92"/>
      <c r="T145" s="92"/>
      <c r="U145" s="92"/>
      <c r="V145" s="92"/>
      <c r="W145" s="92"/>
    </row>
    <row r="146" spans="1:23">
      <c r="O146" s="9"/>
      <c r="P146" s="9"/>
      <c r="Q146" s="9"/>
      <c r="R146" s="9"/>
      <c r="S146" s="9"/>
      <c r="T146" s="9"/>
      <c r="U146" s="9"/>
      <c r="V146" s="9"/>
      <c r="W146" s="9"/>
    </row>
    <row r="147" spans="1:23">
      <c r="O147" s="9"/>
      <c r="P147" s="9"/>
      <c r="Q147" s="9"/>
      <c r="R147" s="9"/>
      <c r="S147" s="9"/>
      <c r="T147" s="9"/>
      <c r="U147" s="9"/>
      <c r="V147" s="9"/>
      <c r="W147" s="9"/>
    </row>
    <row r="148" spans="1:23">
      <c r="A148" s="307"/>
      <c r="B148" s="308"/>
      <c r="C148" s="307"/>
      <c r="D148" s="307"/>
      <c r="E148" s="307"/>
      <c r="F148" s="307"/>
      <c r="O148" s="9"/>
      <c r="P148" s="9"/>
      <c r="Q148" s="9"/>
      <c r="R148" s="9"/>
      <c r="S148" s="9"/>
      <c r="T148" s="9"/>
      <c r="U148" s="9"/>
      <c r="V148" s="9"/>
      <c r="W148" s="9"/>
    </row>
    <row r="149" spans="1:23">
      <c r="A149" s="307"/>
      <c r="B149" s="308"/>
      <c r="C149" s="308"/>
      <c r="D149" s="308"/>
      <c r="O149" s="9"/>
      <c r="P149" s="9"/>
      <c r="Q149" s="9"/>
      <c r="R149" s="9"/>
      <c r="S149" s="9"/>
      <c r="T149" s="9"/>
      <c r="U149" s="9"/>
      <c r="V149" s="9"/>
      <c r="W149" s="9"/>
    </row>
    <row r="150" spans="1:23">
      <c r="A150" s="88"/>
      <c r="B150" s="88"/>
      <c r="C150" s="320"/>
      <c r="D150" s="320"/>
      <c r="O150" s="9"/>
      <c r="P150" s="9"/>
      <c r="Q150" s="9"/>
      <c r="R150" s="9"/>
      <c r="S150" s="9"/>
      <c r="T150" s="9"/>
      <c r="U150" s="9"/>
      <c r="V150" s="9"/>
      <c r="W150" s="9"/>
    </row>
    <row r="151" spans="1:23">
      <c r="C151" s="320"/>
      <c r="D151" s="320"/>
      <c r="E151" s="320"/>
      <c r="F151" s="320"/>
      <c r="O151" s="9"/>
      <c r="P151" s="9"/>
      <c r="Q151" s="9"/>
      <c r="R151" s="9"/>
      <c r="S151" s="9"/>
      <c r="T151" s="9"/>
      <c r="U151" s="9"/>
      <c r="V151" s="9"/>
      <c r="W151" s="9"/>
    </row>
    <row r="152" spans="1:23">
      <c r="C152" s="307"/>
      <c r="D152" s="307"/>
      <c r="O152" s="9"/>
      <c r="P152" s="9"/>
      <c r="Q152" s="9"/>
      <c r="R152" s="9"/>
      <c r="S152" s="9"/>
      <c r="T152" s="9"/>
      <c r="U152" s="9"/>
      <c r="V152" s="9"/>
      <c r="W152" s="9"/>
    </row>
    <row r="153" spans="1:23">
      <c r="C153" s="320"/>
      <c r="D153" s="320"/>
      <c r="O153" s="9"/>
      <c r="P153" s="9"/>
      <c r="Q153" s="9"/>
      <c r="R153" s="9"/>
      <c r="S153" s="9"/>
      <c r="T153" s="9"/>
      <c r="U153" s="9"/>
      <c r="V153" s="9"/>
      <c r="W153" s="9"/>
    </row>
    <row r="154" spans="1:23" ht="18">
      <c r="A154" s="90"/>
      <c r="B154" s="91"/>
      <c r="C154" s="307"/>
      <c r="D154" s="307"/>
      <c r="E154" s="93"/>
      <c r="F154" s="75"/>
      <c r="H154" s="308"/>
      <c r="I154" s="308"/>
      <c r="J154" s="308"/>
      <c r="O154" s="9"/>
      <c r="P154" s="9"/>
      <c r="Q154" s="9"/>
      <c r="R154" s="9"/>
      <c r="S154" s="9"/>
      <c r="T154" s="9"/>
      <c r="U154" s="9"/>
      <c r="V154" s="9"/>
      <c r="W154" s="9"/>
    </row>
    <row r="155" spans="1:23" ht="18">
      <c r="A155" s="90"/>
      <c r="B155" s="91"/>
      <c r="C155" s="307"/>
      <c r="D155" s="307"/>
      <c r="E155" s="93"/>
      <c r="F155" s="75"/>
      <c r="H155" s="308"/>
      <c r="I155" s="308"/>
      <c r="J155" s="308"/>
      <c r="O155" s="9"/>
      <c r="P155" s="9"/>
      <c r="Q155" s="9"/>
      <c r="R155" s="9"/>
      <c r="S155" s="9"/>
      <c r="T155" s="9"/>
      <c r="U155" s="9"/>
      <c r="V155" s="9"/>
      <c r="W155" s="9"/>
    </row>
    <row r="156" spans="1:23" ht="18">
      <c r="A156" s="90"/>
      <c r="B156" s="91"/>
      <c r="C156" s="307"/>
      <c r="D156" s="307"/>
      <c r="E156" s="93"/>
      <c r="F156" s="75"/>
      <c r="H156" s="308"/>
      <c r="I156" s="308"/>
      <c r="J156" s="308"/>
      <c r="O156" s="9"/>
      <c r="P156" s="9"/>
      <c r="Q156" s="9"/>
      <c r="R156" s="9"/>
      <c r="S156" s="9"/>
      <c r="T156" s="9"/>
      <c r="U156" s="9"/>
      <c r="V156" s="9"/>
      <c r="W156" s="9"/>
    </row>
    <row r="157" spans="1:23" ht="18">
      <c r="A157" s="90"/>
      <c r="B157" s="91"/>
      <c r="C157" s="307"/>
      <c r="D157" s="307"/>
      <c r="E157" s="93"/>
      <c r="F157" s="75"/>
      <c r="H157" s="308"/>
      <c r="I157" s="308"/>
      <c r="J157" s="308"/>
      <c r="O157" s="9"/>
      <c r="P157" s="9"/>
      <c r="Q157" s="9"/>
      <c r="R157" s="9"/>
      <c r="S157" s="9"/>
      <c r="T157" s="9"/>
      <c r="U157" s="9"/>
      <c r="V157" s="9"/>
      <c r="W157" s="9"/>
    </row>
    <row r="158" spans="1:23" ht="18">
      <c r="A158" s="90"/>
      <c r="B158" s="91"/>
      <c r="C158" s="307"/>
      <c r="D158" s="307"/>
      <c r="E158" s="93"/>
      <c r="F158" s="75"/>
      <c r="H158" s="308"/>
      <c r="I158" s="308"/>
      <c r="J158" s="308"/>
      <c r="Q158" s="9"/>
      <c r="R158" s="9"/>
      <c r="S158" s="9"/>
      <c r="T158" s="9"/>
      <c r="U158" s="9"/>
      <c r="V158" s="9"/>
      <c r="W158" s="9"/>
    </row>
    <row r="159" spans="1:23" ht="18">
      <c r="A159" s="90"/>
      <c r="B159" s="91"/>
      <c r="C159" s="307"/>
      <c r="D159" s="307"/>
      <c r="E159" s="93"/>
      <c r="F159" s="75"/>
      <c r="H159" s="308"/>
      <c r="I159" s="308"/>
      <c r="J159" s="308"/>
      <c r="O159" s="9"/>
      <c r="P159" s="9"/>
      <c r="Q159" s="9"/>
      <c r="R159" s="9"/>
      <c r="S159" s="9"/>
      <c r="T159" s="9"/>
      <c r="U159" s="9"/>
      <c r="V159" s="9"/>
      <c r="W159" s="9"/>
    </row>
    <row r="160" spans="1:23">
      <c r="O160" s="9"/>
      <c r="P160" s="9"/>
      <c r="Q160" s="9"/>
      <c r="R160" s="9"/>
      <c r="S160" s="9"/>
      <c r="T160" s="9"/>
      <c r="U160" s="9"/>
      <c r="V160" s="9"/>
      <c r="W160" s="9"/>
    </row>
    <row r="161" spans="1:23">
      <c r="O161" s="9"/>
      <c r="P161" s="9"/>
      <c r="Q161" s="9"/>
      <c r="R161" s="9"/>
      <c r="S161" s="9"/>
      <c r="T161" s="9"/>
      <c r="U161" s="9"/>
      <c r="V161" s="9"/>
      <c r="W161" s="9"/>
    </row>
    <row r="162" spans="1:23">
      <c r="E162" s="94"/>
      <c r="O162" s="9"/>
      <c r="P162" s="9"/>
      <c r="Q162" s="9"/>
      <c r="R162" s="9"/>
      <c r="S162" s="9"/>
      <c r="T162" s="9"/>
      <c r="U162" s="9"/>
      <c r="V162" s="9"/>
      <c r="W162" s="9"/>
    </row>
    <row r="163" spans="1:23">
      <c r="O163" s="9"/>
      <c r="P163" s="9"/>
      <c r="Q163" s="9"/>
      <c r="R163" s="9"/>
      <c r="S163" s="9"/>
      <c r="T163" s="9"/>
      <c r="U163" s="9"/>
      <c r="V163" s="9"/>
      <c r="W163" s="9"/>
    </row>
    <row r="164" spans="1:23">
      <c r="O164" s="9"/>
      <c r="P164" s="9"/>
      <c r="Q164" s="9"/>
      <c r="R164" s="9"/>
      <c r="S164" s="9"/>
      <c r="T164" s="9"/>
      <c r="U164" s="9"/>
      <c r="V164" s="9"/>
      <c r="W164" s="9"/>
    </row>
    <row r="165" spans="1:23" ht="18">
      <c r="A165" s="95"/>
      <c r="O165" s="9"/>
      <c r="P165" s="9"/>
      <c r="Q165" s="9"/>
      <c r="R165" s="9"/>
      <c r="S165" s="9"/>
      <c r="T165" s="9"/>
      <c r="U165" s="9"/>
      <c r="V165" s="9"/>
      <c r="W165" s="9"/>
    </row>
    <row r="166" spans="1:23" ht="18">
      <c r="A166" s="95"/>
      <c r="O166" s="9"/>
      <c r="P166" s="9"/>
      <c r="Q166" s="9"/>
      <c r="R166" s="9"/>
      <c r="S166" s="9"/>
      <c r="T166" s="9"/>
      <c r="U166" s="9"/>
      <c r="V166" s="9"/>
      <c r="W166" s="9"/>
    </row>
    <row r="167" spans="1:23">
      <c r="A167" s="96"/>
      <c r="O167" s="9"/>
      <c r="P167" s="9"/>
      <c r="Q167" s="9"/>
      <c r="R167" s="9"/>
      <c r="S167" s="9"/>
      <c r="T167" s="9"/>
      <c r="U167" s="9"/>
      <c r="V167" s="9"/>
      <c r="W167" s="9"/>
    </row>
    <row r="168" spans="1:23" ht="18">
      <c r="A168" s="95"/>
      <c r="O168" s="9"/>
      <c r="P168" s="9"/>
      <c r="Q168" s="9"/>
      <c r="R168" s="9"/>
      <c r="S168" s="9"/>
      <c r="T168" s="9"/>
      <c r="U168" s="9"/>
      <c r="V168" s="9"/>
      <c r="W168" s="9"/>
    </row>
    <row r="169" spans="1:23">
      <c r="A169" s="96"/>
      <c r="O169" s="9"/>
      <c r="P169" s="9"/>
      <c r="Q169" s="9"/>
      <c r="R169" s="9"/>
      <c r="S169" s="9"/>
      <c r="T169" s="9"/>
      <c r="U169" s="9"/>
      <c r="V169" s="9"/>
      <c r="W169" s="9"/>
    </row>
    <row r="170" spans="1:23">
      <c r="D170" s="82"/>
      <c r="O170" s="9"/>
      <c r="P170" s="9"/>
      <c r="Q170" s="9"/>
      <c r="R170" s="9"/>
      <c r="S170" s="9"/>
      <c r="T170" s="9"/>
      <c r="U170" s="9"/>
      <c r="V170" s="9"/>
      <c r="W170" s="9"/>
    </row>
    <row r="171" spans="1:23">
      <c r="D171" s="82"/>
      <c r="O171" s="9"/>
      <c r="P171" s="9"/>
      <c r="Q171" s="9"/>
      <c r="R171" s="9"/>
      <c r="S171" s="9"/>
      <c r="T171" s="9"/>
      <c r="U171" s="9"/>
      <c r="V171" s="9"/>
      <c r="W171" s="9"/>
    </row>
    <row r="172" spans="1:23" ht="15.75">
      <c r="D172" s="82"/>
      <c r="K172" s="87"/>
      <c r="O172" s="9"/>
      <c r="P172" s="9"/>
      <c r="Q172" s="9"/>
      <c r="R172" s="9"/>
      <c r="S172" s="9"/>
      <c r="T172" s="9"/>
      <c r="U172" s="9"/>
      <c r="V172" s="9"/>
      <c r="W172" s="9"/>
    </row>
    <row r="173" spans="1:23" ht="15.75">
      <c r="D173" s="82"/>
      <c r="K173" s="87"/>
      <c r="O173" s="9"/>
      <c r="P173" s="9"/>
      <c r="Q173" s="9"/>
      <c r="R173" s="9"/>
      <c r="S173" s="9"/>
      <c r="T173" s="9"/>
      <c r="U173" s="9"/>
      <c r="V173" s="9"/>
      <c r="W173" s="9"/>
    </row>
    <row r="174" spans="1:23">
      <c r="O174" s="9"/>
      <c r="P174" s="9"/>
      <c r="Q174" s="9"/>
      <c r="R174" s="9"/>
      <c r="S174" s="9"/>
      <c r="T174" s="9"/>
      <c r="U174" s="9"/>
      <c r="V174" s="9"/>
      <c r="W174" s="9"/>
    </row>
    <row r="175" spans="1:23">
      <c r="A175" s="96"/>
      <c r="K175" s="39"/>
      <c r="L175" s="39"/>
      <c r="M175" s="39"/>
      <c r="N175" s="39"/>
      <c r="O175" s="39"/>
      <c r="P175" s="39"/>
      <c r="Q175" s="39"/>
      <c r="R175" s="39"/>
      <c r="S175" s="97"/>
      <c r="T175" s="97"/>
      <c r="U175" s="97"/>
      <c r="V175" s="9"/>
      <c r="W175" s="9"/>
    </row>
    <row r="176" spans="1:23">
      <c r="K176" s="39"/>
      <c r="L176" s="39"/>
      <c r="M176" s="39"/>
      <c r="N176" s="39"/>
      <c r="O176" s="39"/>
      <c r="P176" s="39"/>
      <c r="Q176" s="97"/>
      <c r="R176" s="97"/>
      <c r="S176" s="97"/>
      <c r="T176" s="9"/>
      <c r="U176" s="9"/>
      <c r="V176" s="9"/>
      <c r="W176" s="9"/>
    </row>
    <row r="177" spans="1:23">
      <c r="A177" s="96"/>
      <c r="K177" s="39"/>
      <c r="L177" s="39"/>
      <c r="M177" s="39"/>
      <c r="N177" s="39"/>
      <c r="O177" s="39"/>
      <c r="P177" s="39"/>
      <c r="Q177" s="97"/>
      <c r="R177" s="97"/>
      <c r="S177" s="97"/>
      <c r="T177" s="9"/>
      <c r="U177" s="9"/>
      <c r="V177" s="9"/>
      <c r="W177" s="9"/>
    </row>
    <row r="178" spans="1:23">
      <c r="T178" s="9"/>
      <c r="U178" s="9"/>
      <c r="V178" s="9"/>
      <c r="W178" s="9"/>
    </row>
    <row r="179" spans="1:23">
      <c r="T179" s="9"/>
      <c r="U179" s="9"/>
      <c r="V179" s="9"/>
      <c r="W179" s="9"/>
    </row>
    <row r="180" spans="1:23">
      <c r="V180" s="9"/>
      <c r="W180" s="9"/>
    </row>
    <row r="181" spans="1:23">
      <c r="O181" s="9"/>
      <c r="P181" s="9"/>
      <c r="Q181" s="9"/>
      <c r="R181" s="9"/>
      <c r="S181" s="9"/>
      <c r="T181" s="9"/>
      <c r="U181" s="9"/>
      <c r="V181" s="9"/>
      <c r="W181" s="9"/>
    </row>
    <row r="182" spans="1:23">
      <c r="D182" s="76"/>
      <c r="V182" s="9"/>
      <c r="W182" s="9"/>
    </row>
    <row r="183" spans="1:23">
      <c r="D183" s="76"/>
      <c r="V183" s="9"/>
      <c r="W183" s="9"/>
    </row>
    <row r="184" spans="1:23">
      <c r="D184" s="76"/>
      <c r="O184" s="9"/>
      <c r="P184" s="9"/>
      <c r="Q184" s="9"/>
      <c r="R184" s="9"/>
      <c r="S184" s="9"/>
      <c r="T184" s="9"/>
      <c r="U184" s="9"/>
      <c r="V184" s="9"/>
      <c r="W184" s="9"/>
    </row>
    <row r="185" spans="1:23">
      <c r="D185" s="76"/>
      <c r="O185" s="9"/>
      <c r="P185" s="9"/>
      <c r="Q185" s="9"/>
      <c r="R185" s="9"/>
      <c r="S185" s="9"/>
      <c r="T185" s="9"/>
      <c r="U185" s="9"/>
      <c r="V185" s="9"/>
      <c r="W185" s="9"/>
    </row>
    <row r="186" spans="1:23">
      <c r="D186" s="76"/>
      <c r="O186" s="9"/>
      <c r="P186" s="9"/>
      <c r="Q186" s="9"/>
      <c r="R186" s="9"/>
      <c r="S186" s="9"/>
      <c r="T186" s="9"/>
      <c r="U186" s="9"/>
      <c r="V186" s="9"/>
      <c r="W186" s="9"/>
    </row>
    <row r="187" spans="1:23">
      <c r="D187" s="76"/>
      <c r="E187" s="77"/>
      <c r="O187" s="9"/>
      <c r="P187" s="9"/>
      <c r="Q187" s="9"/>
      <c r="R187" s="9"/>
      <c r="S187" s="9"/>
      <c r="T187" s="9"/>
      <c r="U187" s="9"/>
      <c r="V187" s="9"/>
      <c r="W187" s="9"/>
    </row>
    <row r="188" spans="1:23">
      <c r="D188" s="76"/>
      <c r="E188" s="77"/>
      <c r="O188" s="9"/>
      <c r="P188" s="9"/>
      <c r="Q188" s="9"/>
      <c r="R188" s="9"/>
      <c r="S188" s="9"/>
      <c r="T188" s="9"/>
      <c r="U188" s="9"/>
      <c r="V188" s="9"/>
      <c r="W188" s="9"/>
    </row>
    <row r="189" spans="1:23">
      <c r="D189" s="76"/>
      <c r="E189" s="77"/>
      <c r="O189" s="9"/>
      <c r="P189" s="9"/>
      <c r="Q189" s="9"/>
      <c r="R189" s="9"/>
      <c r="S189" s="9"/>
      <c r="T189" s="9"/>
      <c r="U189" s="9"/>
      <c r="V189" s="9"/>
      <c r="W189" s="9"/>
    </row>
    <row r="190" spans="1:23">
      <c r="A190" s="96"/>
      <c r="O190" s="9"/>
      <c r="P190" s="9"/>
      <c r="Q190" s="9"/>
      <c r="R190" s="9"/>
      <c r="S190" s="9"/>
      <c r="T190" s="9"/>
      <c r="U190" s="9"/>
      <c r="V190" s="9"/>
      <c r="W190" s="9"/>
    </row>
    <row r="191" spans="1:23">
      <c r="O191" s="9"/>
      <c r="P191" s="9"/>
      <c r="Q191" s="9"/>
      <c r="R191" s="9"/>
      <c r="S191" s="9"/>
      <c r="T191" s="9"/>
      <c r="U191" s="9"/>
      <c r="V191" s="9"/>
      <c r="W191" s="9"/>
    </row>
    <row r="192" spans="1:23">
      <c r="O192" s="9"/>
      <c r="P192" s="9"/>
      <c r="Q192" s="9"/>
      <c r="R192" s="9"/>
      <c r="S192" s="9"/>
      <c r="T192" s="9"/>
      <c r="U192" s="9"/>
      <c r="V192" s="9"/>
      <c r="W192" s="9"/>
    </row>
    <row r="193" spans="1:23">
      <c r="A193" s="96"/>
      <c r="O193" s="9"/>
      <c r="P193" s="9"/>
      <c r="Q193" s="9"/>
      <c r="R193" s="9"/>
      <c r="S193" s="9"/>
      <c r="T193" s="9"/>
      <c r="U193" s="9"/>
      <c r="V193" s="9"/>
      <c r="W193" s="9"/>
    </row>
    <row r="194" spans="1:23">
      <c r="O194" s="9"/>
      <c r="P194" s="9"/>
      <c r="Q194" s="9"/>
      <c r="R194" s="9"/>
      <c r="S194" s="9"/>
      <c r="T194" s="9"/>
      <c r="U194" s="9"/>
      <c r="V194" s="9"/>
      <c r="W194" s="9"/>
    </row>
    <row r="195" spans="1:23">
      <c r="O195" s="9"/>
      <c r="P195" s="9"/>
      <c r="Q195" s="9"/>
      <c r="R195" s="9"/>
      <c r="S195" s="9"/>
      <c r="T195" s="9"/>
      <c r="U195" s="9"/>
      <c r="V195" s="9"/>
      <c r="W195" s="9"/>
    </row>
    <row r="196" spans="1:23">
      <c r="O196" s="9"/>
      <c r="P196" s="9"/>
      <c r="Q196" s="9"/>
      <c r="R196" s="9"/>
      <c r="S196" s="9"/>
      <c r="T196" s="9"/>
      <c r="U196" s="9"/>
      <c r="V196" s="9"/>
      <c r="W196" s="9"/>
    </row>
    <row r="197" spans="1:23">
      <c r="D197" s="82"/>
      <c r="O197" s="9"/>
      <c r="P197" s="9"/>
      <c r="Q197" s="9"/>
      <c r="R197" s="9"/>
      <c r="S197" s="9"/>
      <c r="T197" s="9"/>
      <c r="U197" s="9"/>
      <c r="V197" s="9"/>
      <c r="W197" s="9"/>
    </row>
    <row r="198" spans="1:23">
      <c r="O198" s="9"/>
      <c r="P198" s="9"/>
      <c r="Q198" s="9"/>
      <c r="R198" s="9"/>
      <c r="S198" s="9"/>
      <c r="T198" s="9"/>
      <c r="U198" s="9"/>
      <c r="V198" s="9"/>
      <c r="W198" s="9"/>
    </row>
    <row r="199" spans="1:23">
      <c r="O199" s="9"/>
      <c r="P199" s="9"/>
      <c r="Q199" s="9"/>
      <c r="R199" s="9"/>
      <c r="S199" s="9"/>
      <c r="T199" s="9"/>
      <c r="U199" s="9"/>
      <c r="V199" s="9"/>
      <c r="W199" s="9"/>
    </row>
    <row r="200" spans="1:23">
      <c r="A200" s="96"/>
      <c r="O200" s="9"/>
      <c r="P200" s="9"/>
      <c r="Q200" s="9"/>
      <c r="R200" s="9"/>
      <c r="S200" s="9"/>
      <c r="T200" s="9"/>
      <c r="U200" s="9"/>
      <c r="V200" s="9"/>
      <c r="W200" s="9"/>
    </row>
    <row r="201" spans="1:23">
      <c r="O201" s="9"/>
      <c r="P201" s="9"/>
      <c r="Q201" s="9"/>
      <c r="R201" s="9"/>
      <c r="S201" s="9"/>
      <c r="T201" s="9"/>
      <c r="U201" s="9"/>
      <c r="V201" s="9"/>
      <c r="W201" s="9"/>
    </row>
    <row r="202" spans="1:23">
      <c r="O202" s="9"/>
      <c r="P202" s="9"/>
      <c r="Q202" s="9"/>
      <c r="R202" s="9"/>
      <c r="S202" s="9"/>
      <c r="T202" s="9"/>
      <c r="U202" s="9"/>
      <c r="V202" s="9"/>
      <c r="W202" s="9"/>
    </row>
    <row r="203" spans="1:23">
      <c r="O203" s="9"/>
      <c r="P203" s="9"/>
      <c r="Q203" s="9"/>
      <c r="R203" s="9"/>
      <c r="S203" s="9"/>
      <c r="T203" s="9"/>
      <c r="U203" s="9"/>
      <c r="V203" s="9"/>
      <c r="W203" s="9"/>
    </row>
    <row r="204" spans="1:23">
      <c r="D204" s="82"/>
      <c r="O204" s="9"/>
      <c r="P204" s="9"/>
      <c r="Q204" s="9"/>
      <c r="R204" s="9"/>
      <c r="S204" s="9"/>
      <c r="T204" s="9"/>
      <c r="U204" s="9"/>
      <c r="V204" s="9"/>
      <c r="W204" s="9"/>
    </row>
    <row r="205" spans="1:23">
      <c r="O205" s="9"/>
      <c r="P205" s="9"/>
      <c r="Q205" s="9"/>
      <c r="R205" s="9"/>
      <c r="S205" s="9"/>
      <c r="T205" s="9"/>
      <c r="U205" s="9"/>
      <c r="V205" s="9"/>
      <c r="W205" s="9"/>
    </row>
    <row r="206" spans="1:23">
      <c r="O206" s="9"/>
      <c r="P206" s="9"/>
      <c r="Q206" s="9"/>
      <c r="R206" s="9"/>
      <c r="S206" s="9"/>
      <c r="T206" s="9"/>
      <c r="U206" s="9"/>
      <c r="V206" s="9"/>
      <c r="W206" s="9"/>
    </row>
    <row r="207" spans="1:23">
      <c r="A207" s="96"/>
      <c r="O207" s="9"/>
      <c r="P207" s="9"/>
      <c r="Q207" s="9"/>
      <c r="R207" s="9"/>
      <c r="S207" s="9"/>
      <c r="T207" s="9"/>
      <c r="U207" s="9"/>
      <c r="V207" s="9"/>
      <c r="W207" s="9"/>
    </row>
    <row r="208" spans="1:23">
      <c r="O208" s="9"/>
      <c r="P208" s="9"/>
      <c r="Q208" s="9"/>
      <c r="R208" s="9"/>
      <c r="S208" s="9"/>
      <c r="T208" s="9"/>
      <c r="U208" s="9"/>
      <c r="V208" s="9"/>
      <c r="W208" s="9"/>
    </row>
    <row r="209" spans="1:23">
      <c r="O209" s="9"/>
      <c r="P209" s="9"/>
      <c r="Q209" s="9"/>
      <c r="R209" s="9"/>
      <c r="S209" s="9"/>
      <c r="T209" s="9"/>
      <c r="U209" s="9"/>
      <c r="V209" s="9"/>
      <c r="W209" s="9"/>
    </row>
    <row r="210" spans="1:23">
      <c r="O210" s="9"/>
      <c r="P210" s="9"/>
      <c r="Q210" s="9"/>
      <c r="R210" s="9"/>
      <c r="S210" s="9"/>
      <c r="T210" s="9"/>
      <c r="U210" s="9"/>
      <c r="V210" s="9"/>
      <c r="W210" s="9"/>
    </row>
    <row r="211" spans="1:23">
      <c r="D211" s="82"/>
      <c r="O211" s="9"/>
      <c r="P211" s="9"/>
      <c r="Q211" s="9"/>
      <c r="R211" s="9"/>
      <c r="S211" s="9"/>
      <c r="T211" s="9"/>
      <c r="U211" s="9"/>
      <c r="V211" s="9"/>
      <c r="W211" s="9"/>
    </row>
    <row r="212" spans="1:23">
      <c r="O212" s="9"/>
      <c r="P212" s="9"/>
      <c r="Q212" s="9"/>
      <c r="R212" s="9"/>
      <c r="S212" s="9"/>
      <c r="T212" s="9"/>
      <c r="U212" s="9"/>
      <c r="V212" s="9"/>
      <c r="W212" s="9"/>
    </row>
    <row r="213" spans="1:23">
      <c r="A213" s="96"/>
      <c r="O213" s="9"/>
      <c r="P213" s="9"/>
      <c r="Q213" s="9"/>
      <c r="R213" s="9"/>
      <c r="S213" s="9"/>
      <c r="T213" s="9"/>
      <c r="U213" s="9"/>
      <c r="V213" s="9"/>
      <c r="W213" s="9"/>
    </row>
    <row r="214" spans="1:23">
      <c r="O214" s="9"/>
      <c r="P214" s="9"/>
      <c r="Q214" s="9"/>
      <c r="R214" s="9"/>
      <c r="S214" s="9"/>
      <c r="T214" s="9"/>
      <c r="U214" s="9"/>
      <c r="V214" s="9"/>
      <c r="W214" s="9"/>
    </row>
    <row r="215" spans="1:23">
      <c r="O215" s="9"/>
      <c r="P215" s="9"/>
      <c r="Q215" s="9"/>
      <c r="R215" s="9"/>
      <c r="S215" s="9"/>
      <c r="T215" s="9"/>
      <c r="U215" s="9"/>
      <c r="V215" s="9"/>
      <c r="W215" s="9"/>
    </row>
    <row r="216" spans="1:23">
      <c r="O216" s="9"/>
      <c r="P216" s="9"/>
      <c r="Q216" s="9"/>
      <c r="R216" s="9"/>
      <c r="S216" s="9"/>
      <c r="T216" s="9"/>
      <c r="U216" s="9"/>
      <c r="V216" s="9"/>
      <c r="W216" s="9"/>
    </row>
    <row r="217" spans="1:23">
      <c r="D217" s="82"/>
      <c r="O217" s="9"/>
      <c r="P217" s="9"/>
      <c r="Q217" s="9"/>
      <c r="R217" s="9"/>
      <c r="S217" s="9"/>
      <c r="T217" s="9"/>
      <c r="U217" s="9"/>
      <c r="V217" s="9"/>
      <c r="W217" s="9"/>
    </row>
    <row r="218" spans="1:23">
      <c r="O218" s="9"/>
      <c r="P218" s="9"/>
      <c r="Q218" s="9"/>
      <c r="R218" s="9"/>
      <c r="S218" s="9"/>
      <c r="T218" s="9"/>
      <c r="U218" s="9"/>
      <c r="V218" s="9"/>
      <c r="W218" s="9"/>
    </row>
    <row r="219" spans="1:23">
      <c r="A219" s="96"/>
      <c r="O219" s="9"/>
      <c r="P219" s="9"/>
      <c r="Q219" s="9"/>
      <c r="R219" s="9"/>
      <c r="S219" s="9"/>
      <c r="T219" s="9"/>
      <c r="U219" s="9"/>
      <c r="V219" s="9"/>
      <c r="W219" s="9"/>
    </row>
    <row r="220" spans="1:23">
      <c r="O220" s="9"/>
      <c r="P220" s="9"/>
      <c r="Q220" s="9"/>
      <c r="R220" s="9"/>
      <c r="S220" s="9"/>
      <c r="T220" s="9"/>
      <c r="U220" s="9"/>
      <c r="V220" s="9"/>
      <c r="W220" s="9"/>
    </row>
    <row r="221" spans="1:23">
      <c r="O221" s="9"/>
      <c r="P221" s="9"/>
      <c r="Q221" s="9"/>
      <c r="R221" s="9"/>
      <c r="S221" s="9"/>
      <c r="T221" s="9"/>
      <c r="U221" s="9"/>
      <c r="V221" s="9"/>
      <c r="W221" s="9"/>
    </row>
    <row r="222" spans="1:23">
      <c r="O222" s="9"/>
      <c r="P222" s="9"/>
      <c r="Q222" s="9"/>
      <c r="R222" s="9"/>
      <c r="S222" s="9"/>
      <c r="T222" s="9"/>
      <c r="U222" s="9"/>
      <c r="V222" s="9"/>
      <c r="W222" s="9"/>
    </row>
    <row r="223" spans="1:23">
      <c r="D223" s="82"/>
      <c r="O223" s="9"/>
      <c r="P223" s="9"/>
      <c r="Q223" s="9"/>
      <c r="R223" s="9"/>
      <c r="S223" s="9"/>
      <c r="T223" s="9"/>
      <c r="U223" s="9"/>
      <c r="V223" s="9"/>
      <c r="W223" s="9"/>
    </row>
    <row r="224" spans="1:23">
      <c r="O224" s="9"/>
      <c r="P224" s="9"/>
      <c r="Q224" s="9"/>
      <c r="R224" s="9"/>
      <c r="S224" s="9"/>
      <c r="T224" s="9"/>
      <c r="U224" s="9"/>
      <c r="V224" s="9"/>
      <c r="W224" s="9"/>
    </row>
    <row r="225" spans="1:23">
      <c r="A225" s="96"/>
      <c r="O225" s="9"/>
      <c r="P225" s="9"/>
      <c r="Q225" s="9"/>
      <c r="R225" s="9"/>
      <c r="S225" s="9"/>
      <c r="T225" s="9"/>
      <c r="U225" s="9"/>
      <c r="V225" s="9"/>
      <c r="W225" s="9"/>
    </row>
    <row r="226" spans="1:23">
      <c r="O226" s="9"/>
      <c r="P226" s="9"/>
      <c r="Q226" s="9"/>
      <c r="R226" s="9"/>
      <c r="S226" s="9"/>
      <c r="T226" s="9"/>
      <c r="U226" s="9"/>
      <c r="V226" s="9"/>
      <c r="W226" s="9"/>
    </row>
    <row r="227" spans="1:23">
      <c r="D227" s="82"/>
      <c r="O227" s="9"/>
      <c r="P227" s="9"/>
      <c r="Q227" s="9"/>
      <c r="R227" s="9"/>
      <c r="S227" s="9"/>
      <c r="T227" s="9"/>
      <c r="U227" s="9"/>
      <c r="V227" s="9"/>
      <c r="W227" s="9"/>
    </row>
    <row r="228" spans="1:23">
      <c r="O228" s="9"/>
      <c r="P228" s="9"/>
      <c r="Q228" s="9"/>
      <c r="R228" s="9"/>
      <c r="S228" s="9"/>
      <c r="T228" s="9"/>
      <c r="U228" s="9"/>
      <c r="V228" s="9"/>
      <c r="W228" s="9"/>
    </row>
    <row r="229" spans="1:23">
      <c r="A229" s="96"/>
      <c r="O229" s="9"/>
      <c r="P229" s="9"/>
      <c r="Q229" s="9"/>
      <c r="R229" s="9"/>
      <c r="S229" s="9"/>
      <c r="T229" s="9"/>
      <c r="U229" s="9"/>
      <c r="V229" s="9"/>
      <c r="W229" s="9"/>
    </row>
    <row r="230" spans="1:23">
      <c r="O230" s="9"/>
      <c r="P230" s="9"/>
      <c r="Q230" s="9"/>
      <c r="R230" s="9"/>
      <c r="S230" s="9"/>
      <c r="T230" s="9"/>
      <c r="U230" s="9"/>
      <c r="V230" s="9"/>
      <c r="W230" s="9"/>
    </row>
    <row r="231" spans="1:23">
      <c r="D231" s="82"/>
      <c r="O231" s="9"/>
      <c r="P231" s="9"/>
      <c r="Q231" s="9"/>
      <c r="R231" s="9"/>
      <c r="S231" s="9"/>
      <c r="T231" s="9"/>
      <c r="U231" s="9"/>
      <c r="V231" s="9"/>
      <c r="W231" s="9"/>
    </row>
    <row r="232" spans="1:23">
      <c r="O232" s="9"/>
      <c r="P232" s="9"/>
      <c r="Q232" s="9"/>
      <c r="R232" s="9"/>
      <c r="S232" s="9"/>
      <c r="T232" s="9"/>
      <c r="U232" s="9"/>
      <c r="V232" s="9"/>
      <c r="W232" s="9"/>
    </row>
    <row r="233" spans="1:23">
      <c r="O233" s="9"/>
      <c r="P233" s="9"/>
      <c r="Q233" s="9"/>
      <c r="R233" s="9"/>
      <c r="S233" s="9"/>
      <c r="T233" s="9"/>
      <c r="U233" s="9"/>
      <c r="V233" s="9"/>
      <c r="W233" s="9"/>
    </row>
    <row r="234" spans="1:23">
      <c r="A234" s="96"/>
      <c r="O234" s="9"/>
      <c r="P234" s="9"/>
      <c r="Q234" s="9"/>
      <c r="R234" s="9"/>
      <c r="S234" s="9"/>
      <c r="T234" s="9"/>
      <c r="U234" s="9"/>
      <c r="V234" s="9"/>
      <c r="W234" s="9"/>
    </row>
    <row r="235" spans="1:23">
      <c r="O235" s="9"/>
      <c r="P235" s="9"/>
      <c r="Q235" s="9"/>
      <c r="R235" s="9"/>
      <c r="S235" s="9"/>
      <c r="T235" s="9"/>
      <c r="U235" s="9"/>
      <c r="V235" s="9"/>
      <c r="W235" s="9"/>
    </row>
    <row r="236" spans="1:23">
      <c r="O236" s="9"/>
      <c r="P236" s="9"/>
      <c r="Q236" s="9"/>
      <c r="R236" s="9"/>
      <c r="S236" s="9"/>
      <c r="T236" s="9"/>
      <c r="U236" s="9"/>
      <c r="V236" s="9"/>
      <c r="W236" s="9"/>
    </row>
    <row r="237" spans="1:23">
      <c r="O237" s="9"/>
      <c r="P237" s="9"/>
      <c r="Q237" s="9"/>
      <c r="R237" s="9"/>
      <c r="S237" s="9"/>
      <c r="T237" s="9"/>
      <c r="U237" s="9"/>
      <c r="V237" s="9"/>
      <c r="W237" s="9"/>
    </row>
    <row r="238" spans="1:23">
      <c r="O238" s="9"/>
      <c r="P238" s="9"/>
      <c r="Q238" s="9"/>
      <c r="R238" s="9"/>
      <c r="S238" s="9"/>
      <c r="T238" s="9"/>
      <c r="U238" s="9"/>
      <c r="V238" s="9"/>
      <c r="W238" s="9"/>
    </row>
    <row r="239" spans="1:23">
      <c r="D239" s="98"/>
      <c r="G239" s="98"/>
      <c r="O239" s="9"/>
      <c r="P239" s="9"/>
      <c r="Q239" s="9"/>
      <c r="R239" s="9"/>
      <c r="S239" s="9"/>
      <c r="T239" s="9"/>
      <c r="U239" s="9"/>
      <c r="V239" s="9"/>
      <c r="W239" s="9"/>
    </row>
    <row r="240" spans="1:23">
      <c r="D240" s="76"/>
      <c r="G240" s="76"/>
      <c r="O240" s="9"/>
      <c r="P240" s="9"/>
      <c r="Q240" s="9"/>
      <c r="R240" s="9"/>
      <c r="S240" s="9"/>
      <c r="T240" s="9"/>
      <c r="U240" s="9"/>
      <c r="V240" s="9"/>
      <c r="W240" s="9"/>
    </row>
    <row r="241" spans="1:23">
      <c r="D241" s="76"/>
      <c r="G241" s="76"/>
      <c r="O241" s="9"/>
      <c r="P241" s="9"/>
      <c r="Q241" s="9"/>
      <c r="R241" s="9"/>
      <c r="S241" s="9"/>
      <c r="T241" s="9"/>
      <c r="U241" s="9"/>
      <c r="V241" s="9"/>
      <c r="W241" s="9"/>
    </row>
    <row r="242" spans="1:23">
      <c r="D242" s="99"/>
      <c r="E242" s="77"/>
      <c r="F242" s="77"/>
      <c r="G242" s="99"/>
      <c r="O242" s="9"/>
      <c r="P242" s="9"/>
      <c r="Q242" s="9"/>
      <c r="R242" s="9"/>
      <c r="S242" s="9"/>
      <c r="T242" s="9"/>
      <c r="U242" s="9"/>
      <c r="V242" s="9"/>
      <c r="W242" s="9"/>
    </row>
    <row r="243" spans="1:23">
      <c r="D243" s="98"/>
      <c r="G243" s="98"/>
      <c r="O243" s="9"/>
      <c r="P243" s="9"/>
      <c r="Q243" s="9"/>
      <c r="R243" s="9"/>
      <c r="S243" s="9"/>
      <c r="T243" s="9"/>
      <c r="U243" s="9"/>
      <c r="V243" s="9"/>
      <c r="W243" s="9"/>
    </row>
    <row r="244" spans="1:23">
      <c r="A244" s="100"/>
      <c r="O244" s="9"/>
      <c r="P244" s="9"/>
      <c r="Q244" s="9"/>
      <c r="R244" s="9"/>
      <c r="S244" s="9"/>
      <c r="T244" s="9"/>
      <c r="U244" s="9"/>
      <c r="V244" s="9"/>
      <c r="W244" s="9"/>
    </row>
    <row r="245" spans="1:23">
      <c r="D245" s="82"/>
      <c r="E245" s="82"/>
      <c r="F245" s="82"/>
      <c r="G245" s="82"/>
      <c r="O245" s="9"/>
      <c r="P245" s="9"/>
      <c r="Q245" s="9"/>
      <c r="R245" s="9"/>
      <c r="S245" s="9"/>
      <c r="T245" s="9"/>
      <c r="U245" s="9"/>
      <c r="V245" s="9"/>
      <c r="W245" s="9"/>
    </row>
    <row r="246" spans="1:23">
      <c r="D246" s="76"/>
      <c r="E246" s="77"/>
      <c r="O246" s="9"/>
      <c r="P246" s="9"/>
      <c r="Q246" s="9"/>
      <c r="R246" s="9"/>
      <c r="S246" s="9"/>
      <c r="T246" s="9"/>
      <c r="U246" s="9"/>
      <c r="V246" s="9"/>
      <c r="W246" s="9"/>
    </row>
    <row r="247" spans="1:23">
      <c r="O247" s="9"/>
      <c r="P247" s="9"/>
      <c r="Q247" s="9"/>
      <c r="R247" s="9"/>
      <c r="S247" s="9"/>
      <c r="T247" s="9"/>
      <c r="U247" s="9"/>
      <c r="V247" s="9"/>
      <c r="W247" s="9"/>
    </row>
    <row r="248" spans="1:23">
      <c r="O248" s="9"/>
      <c r="P248" s="9"/>
      <c r="Q248" s="9"/>
      <c r="R248" s="9"/>
      <c r="S248" s="9"/>
      <c r="T248" s="9"/>
      <c r="U248" s="9"/>
      <c r="V248" s="9"/>
      <c r="W248" s="9"/>
    </row>
    <row r="249" spans="1:23">
      <c r="O249" s="9"/>
      <c r="P249" s="9"/>
      <c r="Q249" s="9"/>
      <c r="R249" s="9"/>
      <c r="S249" s="9"/>
      <c r="T249" s="9"/>
      <c r="U249" s="9"/>
      <c r="V249" s="9"/>
      <c r="W249" s="9"/>
    </row>
    <row r="250" spans="1:23">
      <c r="O250" s="9"/>
      <c r="P250" s="9"/>
      <c r="Q250" s="9"/>
      <c r="R250" s="9"/>
      <c r="S250" s="9"/>
      <c r="T250" s="9"/>
      <c r="U250" s="9"/>
      <c r="V250" s="9"/>
      <c r="W250" s="9"/>
    </row>
    <row r="251" spans="1:23">
      <c r="O251" s="9"/>
      <c r="P251" s="9"/>
      <c r="Q251" s="9"/>
      <c r="R251" s="9"/>
      <c r="S251" s="9"/>
      <c r="T251" s="9"/>
      <c r="U251" s="9"/>
      <c r="V251" s="9"/>
      <c r="W251" s="9"/>
    </row>
    <row r="252" spans="1:23">
      <c r="O252" s="9"/>
      <c r="P252" s="9"/>
      <c r="Q252" s="9"/>
      <c r="R252" s="9"/>
      <c r="S252" s="9"/>
      <c r="T252" s="9"/>
      <c r="U252" s="9"/>
      <c r="V252" s="9"/>
      <c r="W252" s="9"/>
    </row>
    <row r="253" spans="1:23">
      <c r="O253" s="9"/>
      <c r="P253" s="9"/>
      <c r="Q253" s="9"/>
      <c r="R253" s="9"/>
      <c r="S253" s="9"/>
      <c r="T253" s="9"/>
      <c r="U253" s="9"/>
      <c r="V253" s="9"/>
      <c r="W253" s="9"/>
    </row>
    <row r="254" spans="1:23">
      <c r="O254" s="9"/>
      <c r="P254" s="9"/>
      <c r="Q254" s="9"/>
      <c r="R254" s="9"/>
      <c r="S254" s="9"/>
      <c r="T254" s="9"/>
      <c r="U254" s="9"/>
      <c r="V254" s="9"/>
      <c r="W254" s="9"/>
    </row>
    <row r="255" spans="1:23">
      <c r="O255" s="9"/>
      <c r="P255" s="9"/>
      <c r="Q255" s="9"/>
      <c r="R255" s="9"/>
      <c r="S255" s="9"/>
      <c r="T255" s="9"/>
      <c r="U255" s="9"/>
      <c r="V255" s="9"/>
      <c r="W255" s="9"/>
    </row>
    <row r="256" spans="1:23" ht="15.75">
      <c r="I256" s="101"/>
      <c r="J256" s="101"/>
      <c r="O256" s="9"/>
      <c r="P256" s="9"/>
      <c r="Q256" s="9"/>
      <c r="R256" s="9"/>
      <c r="S256" s="9"/>
      <c r="T256" s="9"/>
      <c r="U256" s="9"/>
      <c r="V256" s="9"/>
      <c r="W256" s="9"/>
    </row>
    <row r="257" spans="8:23" ht="15.75">
      <c r="I257" s="101"/>
      <c r="J257" s="101"/>
      <c r="O257" s="9"/>
      <c r="P257" s="9"/>
      <c r="Q257" s="9"/>
      <c r="R257" s="9"/>
      <c r="S257" s="9"/>
      <c r="T257" s="9"/>
      <c r="U257" s="9"/>
      <c r="V257" s="9"/>
      <c r="W257" s="9"/>
    </row>
    <row r="258" spans="8:23" ht="15.75">
      <c r="I258" s="101"/>
      <c r="J258" s="101"/>
      <c r="O258" s="9"/>
      <c r="P258" s="9"/>
      <c r="Q258" s="9"/>
      <c r="R258" s="9"/>
      <c r="S258" s="9"/>
      <c r="T258" s="9"/>
      <c r="U258" s="9"/>
      <c r="V258" s="9"/>
      <c r="W258" s="9"/>
    </row>
    <row r="259" spans="8:23" ht="15.75">
      <c r="H259" s="101"/>
      <c r="I259" s="101"/>
      <c r="J259" s="101"/>
      <c r="O259" s="9"/>
      <c r="P259" s="9"/>
      <c r="Q259" s="9"/>
      <c r="R259" s="9"/>
      <c r="S259" s="9"/>
      <c r="T259" s="9"/>
      <c r="U259" s="9"/>
      <c r="V259" s="9"/>
      <c r="W259" s="9"/>
    </row>
    <row r="260" spans="8:23" ht="15.75">
      <c r="H260" s="101"/>
      <c r="I260" s="101"/>
      <c r="J260" s="101"/>
      <c r="O260" s="9"/>
      <c r="P260" s="9"/>
      <c r="Q260" s="9"/>
      <c r="R260" s="9"/>
      <c r="S260" s="9"/>
      <c r="T260" s="9"/>
      <c r="U260" s="9"/>
      <c r="V260" s="9"/>
      <c r="W260" s="9"/>
    </row>
    <row r="261" spans="8:23" ht="15.75">
      <c r="H261" s="101"/>
      <c r="I261" s="101"/>
      <c r="J261" s="101"/>
      <c r="O261" s="9"/>
      <c r="P261" s="9"/>
      <c r="Q261" s="9"/>
      <c r="R261" s="9"/>
      <c r="S261" s="9"/>
      <c r="T261" s="9"/>
      <c r="U261" s="9"/>
      <c r="V261" s="9"/>
      <c r="W261" s="9"/>
    </row>
    <row r="262" spans="8:23" ht="15.75">
      <c r="H262" s="101"/>
      <c r="I262" s="101"/>
      <c r="J262" s="101"/>
      <c r="O262" s="9"/>
      <c r="P262" s="9"/>
      <c r="Q262" s="9"/>
      <c r="R262" s="9"/>
      <c r="S262" s="9"/>
      <c r="T262" s="9"/>
      <c r="U262" s="9"/>
      <c r="V262" s="9"/>
      <c r="W262" s="9"/>
    </row>
    <row r="263" spans="8:23" ht="15.75">
      <c r="H263" s="101"/>
      <c r="I263" s="101"/>
      <c r="J263" s="101"/>
      <c r="O263" s="9"/>
      <c r="P263" s="9"/>
      <c r="Q263" s="9"/>
      <c r="R263" s="9"/>
      <c r="S263" s="9"/>
      <c r="T263" s="9"/>
      <c r="U263" s="9"/>
      <c r="V263" s="9"/>
      <c r="W263" s="9"/>
    </row>
    <row r="264" spans="8:23" ht="15.75">
      <c r="H264" s="101"/>
      <c r="I264" s="101"/>
      <c r="J264" s="101"/>
      <c r="O264" s="9"/>
      <c r="P264" s="9"/>
      <c r="Q264" s="9"/>
      <c r="R264" s="9"/>
      <c r="S264" s="9"/>
      <c r="T264" s="9"/>
      <c r="U264" s="9"/>
      <c r="V264" s="9"/>
      <c r="W264" s="9"/>
    </row>
    <row r="265" spans="8:23">
      <c r="O265" s="9"/>
      <c r="P265" s="9"/>
      <c r="Q265" s="9"/>
      <c r="R265" s="9"/>
      <c r="S265" s="9"/>
      <c r="T265" s="9"/>
      <c r="U265" s="9"/>
      <c r="V265" s="9"/>
      <c r="W265" s="9"/>
    </row>
    <row r="266" spans="8:23">
      <c r="O266" s="9"/>
      <c r="P266" s="9"/>
      <c r="Q266" s="9"/>
      <c r="R266" s="9"/>
      <c r="S266" s="9"/>
      <c r="T266" s="9"/>
      <c r="U266" s="9"/>
      <c r="V266" s="9"/>
      <c r="W266" s="9"/>
    </row>
    <row r="267" spans="8:23">
      <c r="O267" s="9"/>
      <c r="P267" s="9"/>
      <c r="Q267" s="9"/>
      <c r="R267" s="9"/>
      <c r="S267" s="9"/>
      <c r="T267" s="9"/>
      <c r="U267" s="9"/>
      <c r="V267" s="9"/>
      <c r="W267" s="9"/>
    </row>
    <row r="268" spans="8:23">
      <c r="O268" s="9"/>
      <c r="P268" s="9"/>
      <c r="Q268" s="9"/>
      <c r="R268" s="9"/>
      <c r="S268" s="9"/>
      <c r="T268" s="9"/>
      <c r="U268" s="9"/>
      <c r="V268" s="9"/>
      <c r="W268" s="9"/>
    </row>
    <row r="269" spans="8:23">
      <c r="O269" s="9"/>
      <c r="P269" s="9"/>
      <c r="Q269" s="9"/>
      <c r="R269" s="9"/>
      <c r="S269" s="9"/>
      <c r="T269" s="9"/>
      <c r="U269" s="9"/>
      <c r="V269" s="9"/>
      <c r="W269" s="9"/>
    </row>
    <row r="270" spans="8:23">
      <c r="O270" s="9"/>
      <c r="P270" s="9"/>
      <c r="Q270" s="9"/>
      <c r="R270" s="9"/>
      <c r="S270" s="9"/>
      <c r="T270" s="9"/>
      <c r="U270" s="9"/>
      <c r="V270" s="9"/>
      <c r="W270" s="9"/>
    </row>
    <row r="271" spans="8:23">
      <c r="O271" s="9"/>
      <c r="P271" s="9"/>
      <c r="Q271" s="9"/>
      <c r="R271" s="9"/>
      <c r="S271" s="9"/>
      <c r="T271" s="9"/>
      <c r="U271" s="9"/>
      <c r="V271" s="9"/>
      <c r="W271" s="9"/>
    </row>
    <row r="272" spans="8:23">
      <c r="O272" s="9"/>
      <c r="P272" s="9"/>
      <c r="Q272" s="9"/>
      <c r="R272" s="9"/>
      <c r="S272" s="9"/>
      <c r="T272" s="9"/>
      <c r="U272" s="9"/>
      <c r="V272" s="9"/>
      <c r="W272" s="9"/>
    </row>
    <row r="273" spans="15:23">
      <c r="O273" s="9"/>
      <c r="P273" s="9"/>
      <c r="Q273" s="9"/>
      <c r="R273" s="9"/>
      <c r="S273" s="9"/>
      <c r="T273" s="9"/>
      <c r="U273" s="9"/>
      <c r="V273" s="9"/>
      <c r="W273" s="9"/>
    </row>
    <row r="274" spans="15:23">
      <c r="O274" s="9"/>
      <c r="P274" s="9"/>
      <c r="Q274" s="9"/>
      <c r="R274" s="9"/>
      <c r="S274" s="9"/>
      <c r="T274" s="9"/>
      <c r="U274" s="9"/>
      <c r="V274" s="9"/>
      <c r="W274" s="9"/>
    </row>
    <row r="275" spans="15:23">
      <c r="O275" s="9"/>
      <c r="P275" s="9"/>
      <c r="Q275" s="9"/>
      <c r="R275" s="9"/>
      <c r="S275" s="9"/>
      <c r="T275" s="9"/>
      <c r="U275" s="9"/>
      <c r="V275" s="9"/>
      <c r="W275" s="9"/>
    </row>
    <row r="276" spans="15:23">
      <c r="O276" s="9"/>
      <c r="P276" s="9"/>
      <c r="Q276" s="9"/>
      <c r="R276" s="9"/>
      <c r="S276" s="9"/>
      <c r="T276" s="9"/>
      <c r="U276" s="9"/>
      <c r="V276" s="9"/>
      <c r="W276" s="9"/>
    </row>
    <row r="277" spans="15:23">
      <c r="O277" s="9"/>
      <c r="P277" s="9"/>
      <c r="Q277" s="9"/>
      <c r="R277" s="9"/>
      <c r="S277" s="9"/>
      <c r="T277" s="9"/>
      <c r="U277" s="9"/>
      <c r="V277" s="9"/>
      <c r="W277" s="9"/>
    </row>
    <row r="278" spans="15:23">
      <c r="O278" s="9"/>
      <c r="P278" s="9"/>
      <c r="Q278" s="9"/>
      <c r="R278" s="9"/>
      <c r="S278" s="9"/>
      <c r="T278" s="9"/>
      <c r="U278" s="9"/>
      <c r="V278" s="9"/>
      <c r="W278" s="9"/>
    </row>
    <row r="279" spans="15:23">
      <c r="O279" s="9"/>
      <c r="P279" s="9"/>
      <c r="Q279" s="9"/>
      <c r="R279" s="9"/>
      <c r="S279" s="9"/>
      <c r="T279" s="9"/>
      <c r="U279" s="9"/>
      <c r="V279" s="9"/>
      <c r="W279" s="9"/>
    </row>
    <row r="280" spans="15:23">
      <c r="O280" s="9"/>
      <c r="P280" s="9"/>
      <c r="Q280" s="9"/>
      <c r="R280" s="9"/>
      <c r="S280" s="9"/>
      <c r="T280" s="9"/>
      <c r="U280" s="9"/>
      <c r="V280" s="9"/>
      <c r="W280" s="9"/>
    </row>
    <row r="281" spans="15:23">
      <c r="O281" s="9"/>
      <c r="P281" s="9"/>
      <c r="Q281" s="9"/>
      <c r="R281" s="9"/>
      <c r="S281" s="9"/>
      <c r="T281" s="9"/>
      <c r="U281" s="9"/>
      <c r="V281" s="9"/>
      <c r="W281" s="9"/>
    </row>
    <row r="282" spans="15:23">
      <c r="O282" s="9"/>
      <c r="P282" s="9"/>
      <c r="Q282" s="9"/>
      <c r="R282" s="9"/>
      <c r="S282" s="9"/>
      <c r="T282" s="9"/>
      <c r="U282" s="9"/>
      <c r="V282" s="9"/>
      <c r="W282" s="9"/>
    </row>
    <row r="283" spans="15:23">
      <c r="O283" s="9"/>
      <c r="P283" s="9"/>
      <c r="Q283" s="9"/>
      <c r="R283" s="9"/>
      <c r="S283" s="9"/>
      <c r="T283" s="9"/>
      <c r="U283" s="9"/>
      <c r="V283" s="9"/>
      <c r="W283" s="9"/>
    </row>
    <row r="284" spans="15:23">
      <c r="O284" s="9"/>
      <c r="P284" s="9"/>
      <c r="Q284" s="9"/>
      <c r="R284" s="9"/>
      <c r="S284" s="9"/>
      <c r="T284" s="9"/>
      <c r="U284" s="9"/>
      <c r="V284" s="9"/>
      <c r="W284" s="9"/>
    </row>
    <row r="285" spans="15:23">
      <c r="O285" s="9"/>
      <c r="P285" s="9"/>
      <c r="Q285" s="9"/>
      <c r="R285" s="9"/>
      <c r="S285" s="9"/>
      <c r="T285" s="9"/>
      <c r="U285" s="9"/>
      <c r="V285" s="9"/>
      <c r="W285" s="9"/>
    </row>
    <row r="286" spans="15:23">
      <c r="O286" s="9"/>
      <c r="P286" s="9"/>
      <c r="Q286" s="9"/>
      <c r="R286" s="9"/>
      <c r="S286" s="9"/>
      <c r="T286" s="9"/>
      <c r="U286" s="9"/>
      <c r="V286" s="9"/>
      <c r="W286" s="9"/>
    </row>
    <row r="287" spans="15:23">
      <c r="O287" s="9"/>
      <c r="P287" s="9"/>
      <c r="Q287" s="9"/>
      <c r="R287" s="9"/>
      <c r="S287" s="9"/>
      <c r="T287" s="9"/>
      <c r="U287" s="9"/>
      <c r="V287" s="9"/>
      <c r="W287" s="9"/>
    </row>
    <row r="288" spans="15:23">
      <c r="O288" s="9"/>
      <c r="P288" s="9"/>
      <c r="Q288" s="9"/>
      <c r="R288" s="9"/>
      <c r="S288" s="9"/>
      <c r="T288" s="9"/>
      <c r="U288" s="9"/>
      <c r="V288" s="9"/>
      <c r="W288" s="9"/>
    </row>
    <row r="289" spans="15:23">
      <c r="O289" s="9"/>
      <c r="P289" s="9"/>
      <c r="Q289" s="9"/>
      <c r="R289" s="9"/>
      <c r="S289" s="9"/>
      <c r="T289" s="9"/>
      <c r="U289" s="9"/>
      <c r="V289" s="9"/>
      <c r="W289" s="9"/>
    </row>
    <row r="290" spans="15:23">
      <c r="O290" s="9"/>
      <c r="P290" s="9"/>
      <c r="Q290" s="9"/>
      <c r="R290" s="9"/>
      <c r="S290" s="9"/>
      <c r="T290" s="9"/>
      <c r="U290" s="9"/>
      <c r="V290" s="9"/>
      <c r="W290" s="9"/>
    </row>
    <row r="291" spans="15:23">
      <c r="O291" s="9"/>
      <c r="P291" s="9"/>
      <c r="Q291" s="9"/>
      <c r="R291" s="9"/>
      <c r="S291" s="9"/>
      <c r="T291" s="9"/>
      <c r="U291" s="9"/>
      <c r="V291" s="9"/>
      <c r="W291" s="9"/>
    </row>
    <row r="292" spans="15:23">
      <c r="O292" s="9"/>
      <c r="P292" s="9"/>
      <c r="Q292" s="9"/>
      <c r="R292" s="9"/>
      <c r="S292" s="9"/>
      <c r="T292" s="9"/>
      <c r="U292" s="9"/>
      <c r="V292" s="9"/>
      <c r="W292" s="9"/>
    </row>
    <row r="293" spans="15:23">
      <c r="O293" s="9"/>
      <c r="P293" s="9"/>
      <c r="Q293" s="9"/>
      <c r="R293" s="9"/>
      <c r="S293" s="9"/>
      <c r="T293" s="9"/>
      <c r="U293" s="9"/>
      <c r="V293" s="9"/>
      <c r="W293" s="9"/>
    </row>
    <row r="294" spans="15:23">
      <c r="O294" s="9"/>
      <c r="P294" s="9"/>
      <c r="Q294" s="9"/>
      <c r="R294" s="9"/>
      <c r="S294" s="9"/>
      <c r="T294" s="9"/>
      <c r="U294" s="9"/>
      <c r="V294" s="9"/>
      <c r="W294" s="9"/>
    </row>
    <row r="295" spans="15:23">
      <c r="O295" s="9"/>
      <c r="P295" s="9"/>
      <c r="Q295" s="9"/>
      <c r="R295" s="9"/>
      <c r="S295" s="9"/>
      <c r="T295" s="9"/>
      <c r="U295" s="9"/>
      <c r="V295" s="9"/>
      <c r="W295" s="9"/>
    </row>
    <row r="296" spans="15:23">
      <c r="O296" s="9"/>
      <c r="P296" s="9"/>
      <c r="Q296" s="9"/>
      <c r="R296" s="9"/>
      <c r="S296" s="9"/>
      <c r="T296" s="9"/>
      <c r="U296" s="9"/>
      <c r="V296" s="9"/>
      <c r="W296" s="9"/>
    </row>
    <row r="297" spans="15:23">
      <c r="O297" s="9"/>
      <c r="P297" s="9"/>
      <c r="Q297" s="9"/>
      <c r="R297" s="9"/>
      <c r="S297" s="9"/>
      <c r="T297" s="9"/>
      <c r="U297" s="9"/>
      <c r="V297" s="9"/>
      <c r="W297" s="9"/>
    </row>
    <row r="298" spans="15:23">
      <c r="O298" s="9"/>
      <c r="P298" s="9"/>
      <c r="Q298" s="9"/>
      <c r="R298" s="9"/>
      <c r="S298" s="9"/>
      <c r="T298" s="9"/>
      <c r="U298" s="9"/>
      <c r="V298" s="9"/>
      <c r="W298" s="9"/>
    </row>
    <row r="299" spans="15:23">
      <c r="O299" s="9"/>
      <c r="P299" s="9"/>
      <c r="Q299" s="9"/>
      <c r="R299" s="9"/>
      <c r="S299" s="9"/>
      <c r="T299" s="9"/>
      <c r="U299" s="9"/>
      <c r="V299" s="9"/>
      <c r="W299" s="9"/>
    </row>
    <row r="300" spans="15:23">
      <c r="O300" s="9"/>
      <c r="P300" s="9"/>
      <c r="Q300" s="9"/>
      <c r="R300" s="9"/>
      <c r="S300" s="9"/>
      <c r="T300" s="9"/>
      <c r="U300" s="9"/>
      <c r="V300" s="9"/>
      <c r="W300" s="9"/>
    </row>
    <row r="301" spans="15:23">
      <c r="O301" s="9"/>
      <c r="P301" s="9"/>
      <c r="Q301" s="9"/>
      <c r="R301" s="9"/>
      <c r="S301" s="9"/>
      <c r="T301" s="9"/>
      <c r="U301" s="9"/>
      <c r="V301" s="9"/>
      <c r="W301" s="9"/>
    </row>
    <row r="302" spans="15:23">
      <c r="O302" s="9"/>
      <c r="P302" s="9"/>
      <c r="Q302" s="9"/>
      <c r="R302" s="9"/>
      <c r="S302" s="9"/>
      <c r="T302" s="9"/>
      <c r="U302" s="9"/>
      <c r="V302" s="9"/>
      <c r="W302" s="9"/>
    </row>
    <row r="303" spans="15:23">
      <c r="O303" s="9"/>
      <c r="P303" s="9"/>
      <c r="Q303" s="9"/>
      <c r="R303" s="9"/>
      <c r="S303" s="9"/>
      <c r="T303" s="9"/>
      <c r="U303" s="9"/>
      <c r="V303" s="9"/>
      <c r="W303" s="9"/>
    </row>
    <row r="304" spans="15:23">
      <c r="O304" s="9"/>
      <c r="P304" s="9"/>
      <c r="Q304" s="9"/>
      <c r="R304" s="9"/>
      <c r="S304" s="9"/>
      <c r="T304" s="9"/>
      <c r="U304" s="9"/>
      <c r="V304" s="9"/>
      <c r="W304" s="9"/>
    </row>
    <row r="305" spans="15:23">
      <c r="O305" s="9"/>
      <c r="P305" s="9"/>
      <c r="Q305" s="9"/>
      <c r="R305" s="9"/>
      <c r="S305" s="9"/>
      <c r="T305" s="9"/>
      <c r="U305" s="9"/>
      <c r="V305" s="9"/>
      <c r="W305" s="9"/>
    </row>
    <row r="306" spans="15:23">
      <c r="O306" s="9"/>
      <c r="P306" s="9"/>
      <c r="Q306" s="9"/>
      <c r="R306" s="9"/>
      <c r="S306" s="9"/>
      <c r="T306" s="9"/>
      <c r="U306" s="9"/>
      <c r="V306" s="9"/>
      <c r="W306" s="9"/>
    </row>
    <row r="307" spans="15:23">
      <c r="O307" s="9"/>
      <c r="P307" s="9"/>
      <c r="Q307" s="9"/>
      <c r="R307" s="9"/>
      <c r="S307" s="9"/>
      <c r="T307" s="9"/>
      <c r="U307" s="9"/>
      <c r="V307" s="9"/>
      <c r="W307" s="9"/>
    </row>
    <row r="308" spans="15:23">
      <c r="O308" s="9"/>
      <c r="P308" s="9"/>
      <c r="Q308" s="9"/>
      <c r="R308" s="9"/>
      <c r="S308" s="9"/>
      <c r="T308" s="9"/>
      <c r="U308" s="9"/>
      <c r="V308" s="9"/>
      <c r="W308" s="9"/>
    </row>
    <row r="309" spans="15:23">
      <c r="O309" s="9"/>
      <c r="P309" s="9"/>
      <c r="Q309" s="9"/>
      <c r="R309" s="9"/>
      <c r="S309" s="9"/>
      <c r="T309" s="9"/>
      <c r="U309" s="9"/>
      <c r="V309" s="9"/>
      <c r="W309" s="9"/>
    </row>
    <row r="310" spans="15:23">
      <c r="O310" s="9"/>
      <c r="P310" s="9"/>
      <c r="Q310" s="9"/>
      <c r="R310" s="9"/>
      <c r="S310" s="9"/>
      <c r="T310" s="9"/>
      <c r="U310" s="9"/>
      <c r="V310" s="9"/>
      <c r="W310" s="9"/>
    </row>
    <row r="311" spans="15:23">
      <c r="O311" s="9"/>
      <c r="P311" s="9"/>
      <c r="Q311" s="9"/>
      <c r="R311" s="9"/>
      <c r="S311" s="9"/>
      <c r="T311" s="9"/>
      <c r="U311" s="9"/>
      <c r="V311" s="9"/>
      <c r="W311" s="9"/>
    </row>
    <row r="312" spans="15:23">
      <c r="O312" s="9"/>
      <c r="P312" s="9"/>
      <c r="Q312" s="9"/>
      <c r="R312" s="9"/>
      <c r="S312" s="9"/>
      <c r="T312" s="9"/>
      <c r="U312" s="9"/>
      <c r="V312" s="9"/>
      <c r="W312" s="9"/>
    </row>
    <row r="313" spans="15:23">
      <c r="O313" s="9"/>
      <c r="P313" s="9"/>
      <c r="Q313" s="9"/>
      <c r="R313" s="9"/>
      <c r="S313" s="9"/>
      <c r="T313" s="9"/>
      <c r="U313" s="9"/>
      <c r="V313" s="9"/>
      <c r="W313" s="9"/>
    </row>
    <row r="314" spans="15:23">
      <c r="O314" s="9"/>
      <c r="P314" s="9"/>
      <c r="Q314" s="9"/>
      <c r="R314" s="9"/>
      <c r="S314" s="9"/>
      <c r="T314" s="9"/>
      <c r="U314" s="9"/>
      <c r="V314" s="9"/>
      <c r="W314" s="9"/>
    </row>
    <row r="315" spans="15:23">
      <c r="O315" s="9"/>
      <c r="P315" s="9"/>
      <c r="Q315" s="9"/>
      <c r="R315" s="9"/>
      <c r="S315" s="9"/>
      <c r="T315" s="9"/>
      <c r="U315" s="9"/>
      <c r="V315" s="9"/>
      <c r="W315" s="9"/>
    </row>
    <row r="316" spans="15:23">
      <c r="O316" s="9"/>
      <c r="P316" s="9"/>
      <c r="Q316" s="9"/>
      <c r="R316" s="9"/>
      <c r="S316" s="9"/>
      <c r="T316" s="9"/>
      <c r="U316" s="9"/>
      <c r="V316" s="9"/>
      <c r="W316" s="9"/>
    </row>
    <row r="317" spans="15:23">
      <c r="O317" s="9"/>
      <c r="P317" s="9"/>
      <c r="Q317" s="9"/>
      <c r="R317" s="9"/>
      <c r="S317" s="9"/>
      <c r="T317" s="9"/>
      <c r="U317" s="9"/>
      <c r="V317" s="9"/>
      <c r="W317" s="9"/>
    </row>
    <row r="318" spans="15:23">
      <c r="O318" s="9"/>
      <c r="P318" s="9"/>
      <c r="Q318" s="9"/>
      <c r="R318" s="9"/>
      <c r="S318" s="9"/>
      <c r="T318" s="9"/>
      <c r="U318" s="9"/>
      <c r="V318" s="9"/>
      <c r="W318" s="9"/>
    </row>
    <row r="319" spans="15:23">
      <c r="O319" s="9"/>
      <c r="P319" s="9"/>
      <c r="Q319" s="9"/>
      <c r="R319" s="9"/>
      <c r="S319" s="9"/>
      <c r="T319" s="9"/>
      <c r="U319" s="9"/>
      <c r="V319" s="9"/>
      <c r="W319" s="9"/>
    </row>
    <row r="320" spans="15:23">
      <c r="O320" s="9"/>
      <c r="P320" s="9"/>
      <c r="Q320" s="9"/>
      <c r="R320" s="9"/>
      <c r="S320" s="9"/>
      <c r="T320" s="9"/>
      <c r="U320" s="9"/>
      <c r="V320" s="9"/>
      <c r="W320" s="9"/>
    </row>
    <row r="321" spans="15:23">
      <c r="O321" s="9"/>
      <c r="P321" s="9"/>
      <c r="Q321" s="9"/>
      <c r="R321" s="9"/>
      <c r="S321" s="9"/>
      <c r="T321" s="9"/>
      <c r="U321" s="9"/>
      <c r="V321" s="9"/>
      <c r="W321" s="9"/>
    </row>
    <row r="322" spans="15:23">
      <c r="O322" s="9"/>
      <c r="P322" s="9"/>
      <c r="Q322" s="9"/>
      <c r="R322" s="9"/>
      <c r="S322" s="9"/>
      <c r="T322" s="9"/>
      <c r="U322" s="9"/>
      <c r="V322" s="9"/>
      <c r="W322" s="9"/>
    </row>
    <row r="323" spans="15:23">
      <c r="O323" s="9"/>
      <c r="P323" s="9"/>
      <c r="Q323" s="9"/>
      <c r="R323" s="9"/>
      <c r="S323" s="9"/>
      <c r="T323" s="9"/>
      <c r="U323" s="9"/>
      <c r="V323" s="9"/>
      <c r="W323" s="9"/>
    </row>
    <row r="324" spans="15:23">
      <c r="O324" s="9"/>
      <c r="P324" s="9"/>
      <c r="Q324" s="9"/>
      <c r="R324" s="9"/>
      <c r="S324" s="9"/>
      <c r="T324" s="9"/>
      <c r="U324" s="9"/>
      <c r="V324" s="9"/>
      <c r="W324" s="9"/>
    </row>
    <row r="325" spans="15:23">
      <c r="O325" s="9"/>
      <c r="P325" s="9"/>
      <c r="Q325" s="9"/>
      <c r="R325" s="9"/>
      <c r="S325" s="9"/>
      <c r="T325" s="9"/>
      <c r="U325" s="9"/>
      <c r="V325" s="9"/>
      <c r="W325" s="9"/>
    </row>
    <row r="326" spans="15:23">
      <c r="O326" s="9"/>
      <c r="P326" s="9"/>
      <c r="Q326" s="9"/>
      <c r="R326" s="9"/>
      <c r="S326" s="9"/>
      <c r="T326" s="9"/>
      <c r="U326" s="9"/>
      <c r="V326" s="9"/>
      <c r="W326" s="9"/>
    </row>
    <row r="327" spans="15:23">
      <c r="O327" s="9"/>
      <c r="P327" s="9"/>
      <c r="Q327" s="9"/>
      <c r="R327" s="9"/>
      <c r="S327" s="9"/>
      <c r="T327" s="9"/>
      <c r="U327" s="9"/>
      <c r="V327" s="9"/>
      <c r="W327" s="9"/>
    </row>
  </sheetData>
  <sheetProtection password="CC17" sheet="1" objects="1" scenarios="1"/>
  <mergeCells count="55">
    <mergeCell ref="I135:J135"/>
    <mergeCell ref="B136:C136"/>
    <mergeCell ref="E136:F136"/>
    <mergeCell ref="G136:H136"/>
    <mergeCell ref="I136:J136"/>
    <mergeCell ref="A134:A135"/>
    <mergeCell ref="B134:C135"/>
    <mergeCell ref="D134:D135"/>
    <mergeCell ref="E134:J134"/>
    <mergeCell ref="E135:F135"/>
    <mergeCell ref="G135:H135"/>
    <mergeCell ref="C151:D151"/>
    <mergeCell ref="E151:F151"/>
    <mergeCell ref="C152:D152"/>
    <mergeCell ref="A148:A149"/>
    <mergeCell ref="B148:B149"/>
    <mergeCell ref="C148:D148"/>
    <mergeCell ref="E148:F148"/>
    <mergeCell ref="C149:D149"/>
    <mergeCell ref="C158:D158"/>
    <mergeCell ref="H158:J158"/>
    <mergeCell ref="B57:H57"/>
    <mergeCell ref="B59:C59"/>
    <mergeCell ref="C156:D156"/>
    <mergeCell ref="H156:J156"/>
    <mergeCell ref="B90:C90"/>
    <mergeCell ref="B88:I88"/>
    <mergeCell ref="C153:D153"/>
    <mergeCell ref="C154:D154"/>
    <mergeCell ref="E16:G16"/>
    <mergeCell ref="E17:G17"/>
    <mergeCell ref="B30:H30"/>
    <mergeCell ref="B32:E32"/>
    <mergeCell ref="C157:D157"/>
    <mergeCell ref="H157:J157"/>
    <mergeCell ref="H154:J154"/>
    <mergeCell ref="C155:D155"/>
    <mergeCell ref="H155:J155"/>
    <mergeCell ref="C150:D150"/>
    <mergeCell ref="B2:H2"/>
    <mergeCell ref="C7:H7"/>
    <mergeCell ref="C8:H8"/>
    <mergeCell ref="B3:H3"/>
    <mergeCell ref="C159:D159"/>
    <mergeCell ref="H159:J159"/>
    <mergeCell ref="B13:H13"/>
    <mergeCell ref="B15:C15"/>
    <mergeCell ref="E15:H15"/>
    <mergeCell ref="B48:C48"/>
    <mergeCell ref="E18:G18"/>
    <mergeCell ref="B73:H73"/>
    <mergeCell ref="B75:H75"/>
    <mergeCell ref="B82:H82"/>
    <mergeCell ref="B67:C68"/>
    <mergeCell ref="B46:H46"/>
  </mergeCells>
  <phoneticPr fontId="3" type="noConversion"/>
  <pageMargins left="0.62" right="0.57999999999999996" top="1.1100000000000001" bottom="0.98425196850393704" header="0.51181102362204722" footer="0.51181102362204722"/>
  <pageSetup paperSize="9" scale="80" orientation="portrait" verticalDpi="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K296"/>
  <sheetViews>
    <sheetView tabSelected="1" topLeftCell="A124" workbookViewId="0">
      <selection sqref="A1:IV65536"/>
    </sheetView>
  </sheetViews>
  <sheetFormatPr baseColWidth="10" defaultRowHeight="12.75"/>
  <cols>
    <col min="1" max="1" width="31.42578125" style="7" customWidth="1"/>
    <col min="2" max="4" width="11.42578125" style="7"/>
    <col min="5" max="5" width="12" style="7" bestFit="1" customWidth="1"/>
    <col min="6" max="16384" width="11.42578125" style="7"/>
  </cols>
  <sheetData>
    <row r="1" spans="1:37">
      <c r="A1" s="102"/>
      <c r="B1" s="102"/>
      <c r="C1" s="102"/>
      <c r="D1" s="103"/>
      <c r="E1" s="104"/>
      <c r="F1" s="102"/>
      <c r="G1" s="102"/>
      <c r="H1" s="102"/>
      <c r="I1" s="102"/>
      <c r="J1" s="102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9"/>
      <c r="AD1" s="9"/>
      <c r="AE1" s="9"/>
      <c r="AF1" s="9"/>
      <c r="AG1" s="9"/>
      <c r="AH1" s="105"/>
      <c r="AI1" s="105"/>
      <c r="AJ1" s="105"/>
      <c r="AK1" s="105"/>
    </row>
    <row r="2" spans="1:37" ht="20.25">
      <c r="A2" s="106" t="s">
        <v>0</v>
      </c>
      <c r="D2" s="107"/>
      <c r="E2" s="108"/>
      <c r="I2" s="102"/>
      <c r="J2" s="102"/>
      <c r="K2" s="8"/>
      <c r="L2" s="109" t="s">
        <v>201</v>
      </c>
      <c r="M2" s="110"/>
      <c r="N2" s="110"/>
      <c r="O2" s="76"/>
      <c r="P2" s="77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9"/>
      <c r="AD2" s="9"/>
      <c r="AE2" s="9"/>
      <c r="AF2" s="9"/>
      <c r="AG2" s="9"/>
      <c r="AH2" s="105"/>
      <c r="AI2" s="105"/>
      <c r="AJ2" s="105"/>
      <c r="AK2" s="105"/>
    </row>
    <row r="3" spans="1:37">
      <c r="A3" s="111"/>
      <c r="D3" s="107"/>
      <c r="E3" s="108"/>
      <c r="G3" s="111"/>
      <c r="I3" s="102"/>
      <c r="J3" s="102"/>
      <c r="K3" s="8"/>
      <c r="L3" s="112"/>
      <c r="M3" s="110"/>
      <c r="N3" s="110"/>
      <c r="O3" s="76"/>
      <c r="P3" s="77"/>
      <c r="Q3" s="8"/>
      <c r="R3" s="96"/>
      <c r="S3" s="8"/>
      <c r="T3" s="8"/>
      <c r="U3" s="8"/>
      <c r="V3" s="8"/>
      <c r="W3" s="8"/>
      <c r="X3" s="8"/>
      <c r="Y3" s="8"/>
      <c r="Z3" s="8"/>
      <c r="AA3" s="8"/>
      <c r="AB3" s="8"/>
      <c r="AC3" s="9"/>
      <c r="AD3" s="9"/>
      <c r="AE3" s="9"/>
      <c r="AF3" s="9"/>
      <c r="AG3" s="9"/>
      <c r="AH3" s="105"/>
      <c r="AI3" s="105"/>
      <c r="AJ3" s="105"/>
      <c r="AK3" s="105"/>
    </row>
    <row r="4" spans="1:37">
      <c r="A4" s="111"/>
      <c r="D4" s="107"/>
      <c r="E4" s="108"/>
      <c r="G4" s="111"/>
      <c r="I4" s="102"/>
      <c r="J4" s="102"/>
      <c r="K4" s="8"/>
      <c r="L4" s="112"/>
      <c r="M4" s="110"/>
      <c r="N4" s="110"/>
      <c r="O4" s="76"/>
      <c r="P4" s="77"/>
      <c r="Q4" s="8"/>
      <c r="R4" s="96"/>
      <c r="S4" s="8"/>
      <c r="T4" s="8"/>
      <c r="U4" s="8"/>
      <c r="V4" s="8"/>
      <c r="W4" s="8"/>
      <c r="X4" s="8"/>
      <c r="Y4" s="8"/>
      <c r="Z4" s="8"/>
      <c r="AA4" s="8"/>
      <c r="AB4" s="8"/>
      <c r="AC4" s="9"/>
      <c r="AD4" s="9"/>
      <c r="AE4" s="9"/>
      <c r="AF4" s="9"/>
      <c r="AG4" s="9"/>
      <c r="AH4" s="105"/>
      <c r="AI4" s="105"/>
      <c r="AJ4" s="105"/>
      <c r="AK4" s="105"/>
    </row>
    <row r="5" spans="1:37">
      <c r="A5" s="111" t="s">
        <v>1</v>
      </c>
      <c r="D5" s="107"/>
      <c r="E5" s="111" t="s">
        <v>2</v>
      </c>
      <c r="I5" s="102"/>
      <c r="J5" s="102"/>
      <c r="K5" s="8"/>
      <c r="L5" s="112"/>
      <c r="M5" s="110"/>
      <c r="N5" s="110"/>
      <c r="O5" s="76"/>
      <c r="P5" s="96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9"/>
      <c r="AD5" s="9"/>
      <c r="AE5" s="9"/>
      <c r="AF5" s="9"/>
      <c r="AG5" s="9"/>
      <c r="AH5" s="105"/>
      <c r="AI5" s="105"/>
      <c r="AJ5" s="105"/>
      <c r="AK5" s="105"/>
    </row>
    <row r="6" spans="1:37">
      <c r="A6" s="7" t="s">
        <v>3</v>
      </c>
      <c r="B6" s="113">
        <f>'Verif Poutre'!C16/100</f>
        <v>0.25</v>
      </c>
      <c r="C6" s="7" t="s">
        <v>4</v>
      </c>
      <c r="D6" s="107"/>
      <c r="E6" s="7" t="s">
        <v>5</v>
      </c>
      <c r="G6" s="114" t="str">
        <f>'Verif Poutre'!H16</f>
        <v>RESINEUX</v>
      </c>
      <c r="I6" s="102"/>
      <c r="J6" s="102"/>
      <c r="K6" s="8"/>
      <c r="L6" s="110" t="s">
        <v>203</v>
      </c>
      <c r="M6" s="110"/>
      <c r="N6" s="110"/>
      <c r="O6" s="76"/>
      <c r="P6" s="8"/>
      <c r="Q6" s="8"/>
      <c r="R6" s="39"/>
      <c r="S6" s="8"/>
      <c r="T6" s="8"/>
      <c r="U6" s="8"/>
      <c r="V6" s="8"/>
      <c r="W6" s="8"/>
      <c r="X6" s="8"/>
      <c r="Y6" s="8"/>
      <c r="Z6" s="8"/>
      <c r="AA6" s="8"/>
      <c r="AB6" s="8"/>
      <c r="AC6" s="9"/>
      <c r="AD6" s="9"/>
      <c r="AE6" s="9"/>
      <c r="AF6" s="9"/>
      <c r="AG6" s="9"/>
      <c r="AH6" s="105"/>
      <c r="AI6" s="105"/>
      <c r="AJ6" s="105"/>
      <c r="AK6" s="105"/>
    </row>
    <row r="7" spans="1:37">
      <c r="A7" s="7" t="s">
        <v>7</v>
      </c>
      <c r="B7" s="113">
        <f>'Verif Poutre'!C17/100</f>
        <v>0.15</v>
      </c>
      <c r="C7" s="7" t="s">
        <v>4</v>
      </c>
      <c r="D7" s="107"/>
      <c r="E7" s="7" t="s">
        <v>8</v>
      </c>
      <c r="G7" s="114" t="str">
        <f>'Verif Poutre'!H17</f>
        <v>MASSIF</v>
      </c>
      <c r="I7" s="102"/>
      <c r="J7" s="102"/>
      <c r="K7" s="8"/>
      <c r="L7" s="110" t="s">
        <v>204</v>
      </c>
      <c r="M7" s="110"/>
      <c r="N7" s="110"/>
      <c r="O7" s="76"/>
      <c r="P7" s="8"/>
      <c r="Q7" s="8"/>
      <c r="R7" s="39"/>
      <c r="S7" s="8"/>
      <c r="T7" s="8"/>
      <c r="U7" s="8"/>
      <c r="V7" s="8"/>
      <c r="W7" s="8"/>
      <c r="X7" s="8"/>
      <c r="Y7" s="8"/>
      <c r="Z7" s="8"/>
      <c r="AA7" s="8"/>
      <c r="AB7" s="8"/>
      <c r="AC7" s="9"/>
      <c r="AD7" s="9"/>
      <c r="AE7" s="9"/>
      <c r="AF7" s="9"/>
      <c r="AG7" s="9"/>
      <c r="AH7" s="105"/>
      <c r="AI7" s="105"/>
      <c r="AJ7" s="105"/>
      <c r="AK7" s="105"/>
    </row>
    <row r="8" spans="1:37">
      <c r="A8" s="7" t="s">
        <v>10</v>
      </c>
      <c r="B8" s="113">
        <f>'Verif Poutre'!C18/100</f>
        <v>1.2</v>
      </c>
      <c r="C8" s="7" t="s">
        <v>4</v>
      </c>
      <c r="D8" s="107"/>
      <c r="E8" s="7" t="s">
        <v>11</v>
      </c>
      <c r="G8" s="114">
        <f>'Verif Poutre'!H18</f>
        <v>2</v>
      </c>
      <c r="I8" s="102"/>
      <c r="J8" s="102"/>
      <c r="K8" s="8"/>
      <c r="L8" s="110" t="s">
        <v>202</v>
      </c>
      <c r="M8" s="110"/>
      <c r="N8" s="110"/>
      <c r="O8" s="76"/>
      <c r="P8" s="8"/>
      <c r="Q8" s="8"/>
      <c r="R8" s="39"/>
      <c r="S8" s="8"/>
      <c r="T8" s="8"/>
      <c r="U8" s="8"/>
      <c r="V8" s="8"/>
      <c r="W8" s="8"/>
      <c r="X8" s="8"/>
      <c r="Y8" s="8"/>
      <c r="Z8" s="8"/>
      <c r="AA8" s="8"/>
      <c r="AB8" s="8"/>
      <c r="AC8" s="9"/>
      <c r="AD8" s="9"/>
      <c r="AE8" s="9"/>
      <c r="AF8" s="9"/>
      <c r="AG8" s="9"/>
      <c r="AH8" s="105"/>
      <c r="AI8" s="105"/>
      <c r="AJ8" s="105"/>
      <c r="AK8" s="105"/>
    </row>
    <row r="9" spans="1:37">
      <c r="A9" s="7" t="s">
        <v>12</v>
      </c>
      <c r="B9" s="113">
        <f>'Verif Poutre'!C19/100</f>
        <v>4.5</v>
      </c>
      <c r="C9" s="7" t="s">
        <v>4</v>
      </c>
      <c r="D9" s="107"/>
      <c r="E9" s="108"/>
      <c r="I9" s="102"/>
      <c r="J9" s="102"/>
      <c r="K9" s="8"/>
      <c r="L9" s="110"/>
      <c r="M9" s="110"/>
      <c r="N9" s="110"/>
      <c r="O9" s="76"/>
      <c r="P9" s="77"/>
      <c r="Q9" s="8"/>
      <c r="R9" s="39"/>
      <c r="S9" s="8"/>
      <c r="T9" s="8"/>
      <c r="U9" s="8"/>
      <c r="V9" s="8"/>
      <c r="W9" s="8"/>
      <c r="X9" s="8"/>
      <c r="Y9" s="8"/>
      <c r="Z9" s="8"/>
      <c r="AA9" s="8"/>
      <c r="AB9" s="8"/>
      <c r="AC9" s="9"/>
      <c r="AD9" s="9"/>
      <c r="AE9" s="9"/>
      <c r="AF9" s="9"/>
      <c r="AG9" s="9"/>
      <c r="AH9" s="105"/>
      <c r="AI9" s="105"/>
      <c r="AJ9" s="105"/>
      <c r="AK9" s="105"/>
    </row>
    <row r="10" spans="1:37">
      <c r="A10" s="7" t="s">
        <v>13</v>
      </c>
      <c r="B10" s="113">
        <f>'Verif Poutre'!C20/100</f>
        <v>5.5</v>
      </c>
      <c r="C10" s="7" t="s">
        <v>14</v>
      </c>
      <c r="D10" s="107"/>
      <c r="E10" s="108"/>
      <c r="I10" s="102"/>
      <c r="J10" s="102"/>
      <c r="K10" s="8"/>
      <c r="L10" s="110"/>
      <c r="M10" s="110"/>
      <c r="N10" s="110"/>
      <c r="O10" s="76"/>
      <c r="P10" s="115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9"/>
      <c r="AD10" s="9"/>
      <c r="AE10" s="9"/>
      <c r="AF10" s="9"/>
      <c r="AG10" s="9"/>
      <c r="AH10" s="105"/>
      <c r="AI10" s="105"/>
      <c r="AJ10" s="105"/>
      <c r="AK10" s="105"/>
    </row>
    <row r="11" spans="1:37">
      <c r="A11" s="111"/>
      <c r="D11" s="107"/>
      <c r="E11" s="108"/>
      <c r="I11" s="102"/>
      <c r="J11" s="102"/>
      <c r="K11" s="8"/>
      <c r="L11" s="112"/>
      <c r="M11" s="110"/>
      <c r="N11" s="110"/>
      <c r="O11" s="76"/>
      <c r="P11" s="77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9"/>
      <c r="AD11" s="9"/>
      <c r="AE11" s="9"/>
      <c r="AF11" s="9"/>
      <c r="AG11" s="9"/>
      <c r="AH11" s="105"/>
      <c r="AI11" s="105"/>
      <c r="AJ11" s="105"/>
      <c r="AK11" s="105"/>
    </row>
    <row r="12" spans="1:37">
      <c r="A12" s="111" t="s">
        <v>15</v>
      </c>
      <c r="D12" s="107"/>
      <c r="E12" s="108"/>
      <c r="I12" s="102"/>
      <c r="J12" s="102"/>
      <c r="K12" s="8"/>
      <c r="L12" s="112"/>
      <c r="M12" s="110"/>
      <c r="N12" s="110"/>
      <c r="O12" s="76"/>
      <c r="P12" s="77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9"/>
      <c r="AD12" s="9"/>
      <c r="AE12" s="9"/>
      <c r="AF12" s="9"/>
      <c r="AG12" s="9"/>
      <c r="AH12" s="105"/>
      <c r="AI12" s="105"/>
      <c r="AJ12" s="105"/>
      <c r="AK12" s="105"/>
    </row>
    <row r="13" spans="1:37">
      <c r="A13" s="111"/>
      <c r="D13" s="116" t="s">
        <v>16</v>
      </c>
      <c r="E13" s="117"/>
      <c r="F13" s="118" t="s">
        <v>17</v>
      </c>
      <c r="G13" s="119"/>
      <c r="I13" s="102"/>
      <c r="J13" s="102"/>
      <c r="K13" s="8"/>
      <c r="L13" s="112"/>
      <c r="M13" s="110"/>
      <c r="N13" s="110"/>
      <c r="O13" s="76"/>
      <c r="P13" s="77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9"/>
      <c r="AD13" s="9"/>
      <c r="AE13" s="9"/>
      <c r="AF13" s="9"/>
      <c r="AG13" s="9"/>
      <c r="AH13" s="105"/>
      <c r="AI13" s="105"/>
      <c r="AJ13" s="105"/>
      <c r="AK13" s="105"/>
    </row>
    <row r="14" spans="1:37">
      <c r="A14" s="120"/>
      <c r="B14" s="121" t="s">
        <v>18</v>
      </c>
      <c r="C14" s="122" t="s">
        <v>19</v>
      </c>
      <c r="D14" s="123"/>
      <c r="E14" s="124" t="s">
        <v>19</v>
      </c>
      <c r="F14" s="118"/>
      <c r="G14" s="124" t="s">
        <v>19</v>
      </c>
      <c r="I14" s="102"/>
      <c r="J14" s="102"/>
      <c r="K14" s="8"/>
      <c r="L14" s="125" t="s">
        <v>207</v>
      </c>
      <c r="M14" s="126"/>
      <c r="N14" s="126"/>
      <c r="O14" s="8"/>
      <c r="P14" s="39"/>
      <c r="Q14" s="8"/>
      <c r="R14" s="39"/>
      <c r="S14" s="8"/>
      <c r="T14" s="8"/>
      <c r="U14" s="8"/>
      <c r="V14" s="8"/>
      <c r="W14" s="8"/>
      <c r="X14" s="8"/>
      <c r="Y14" s="8"/>
      <c r="Z14" s="8"/>
      <c r="AA14" s="8"/>
      <c r="AB14" s="8"/>
      <c r="AC14" s="9"/>
      <c r="AD14" s="9"/>
      <c r="AE14" s="9"/>
      <c r="AF14" s="9"/>
      <c r="AG14" s="9"/>
      <c r="AH14" s="105"/>
      <c r="AI14" s="105"/>
      <c r="AJ14" s="105"/>
      <c r="AK14" s="105"/>
    </row>
    <row r="15" spans="1:37">
      <c r="A15" s="127" t="s">
        <v>20</v>
      </c>
      <c r="B15" s="128">
        <f>C15/B8</f>
        <v>0.171875</v>
      </c>
      <c r="C15" s="129">
        <f>D204*G204*B10/10000</f>
        <v>0.20624999999999999</v>
      </c>
      <c r="D15" s="130">
        <v>1</v>
      </c>
      <c r="E15" s="131">
        <f t="shared" ref="E15:E20" si="0">D15*$C15</f>
        <v>0.20624999999999999</v>
      </c>
      <c r="F15" s="132">
        <v>1.1000000000000001</v>
      </c>
      <c r="G15" s="131">
        <f t="shared" ref="G15:G20" si="1">F15*$C15</f>
        <v>0.22687499999999999</v>
      </c>
      <c r="I15" s="102"/>
      <c r="J15" s="102"/>
      <c r="K15" s="8"/>
      <c r="L15" s="133" t="s">
        <v>205</v>
      </c>
      <c r="M15" s="126"/>
      <c r="N15" s="134"/>
      <c r="O15" s="115"/>
      <c r="P15" s="115"/>
      <c r="Q15" s="8"/>
      <c r="R15" s="115"/>
      <c r="S15" s="8"/>
      <c r="T15" s="8"/>
      <c r="U15" s="8"/>
      <c r="V15" s="8"/>
      <c r="W15" s="8"/>
      <c r="X15" s="8"/>
      <c r="Y15" s="8"/>
      <c r="Z15" s="8"/>
      <c r="AA15" s="8"/>
      <c r="AB15" s="8"/>
      <c r="AC15" s="9"/>
      <c r="AD15" s="9"/>
      <c r="AE15" s="9"/>
      <c r="AF15" s="9"/>
      <c r="AG15" s="9"/>
      <c r="AH15" s="105"/>
      <c r="AI15" s="105"/>
      <c r="AJ15" s="105"/>
      <c r="AK15" s="105"/>
    </row>
    <row r="16" spans="1:37">
      <c r="A16" s="127" t="s">
        <v>21</v>
      </c>
      <c r="B16" s="135">
        <f>'Verif Poutre'!C35/100</f>
        <v>1.5</v>
      </c>
      <c r="C16" s="129">
        <f>B16*$B$8</f>
        <v>1.7999999999999998</v>
      </c>
      <c r="D16" s="130">
        <v>1</v>
      </c>
      <c r="E16" s="131">
        <f t="shared" si="0"/>
        <v>1.7999999999999998</v>
      </c>
      <c r="F16" s="132">
        <v>1.1000000000000001</v>
      </c>
      <c r="G16" s="131">
        <f t="shared" si="1"/>
        <v>1.98</v>
      </c>
      <c r="I16" s="102"/>
      <c r="J16" s="102"/>
      <c r="K16" s="8"/>
      <c r="L16" s="110" t="s">
        <v>206</v>
      </c>
      <c r="M16" s="126"/>
      <c r="N16" s="134"/>
      <c r="O16" s="115"/>
      <c r="P16" s="115"/>
      <c r="Q16" s="8"/>
      <c r="R16" s="115"/>
      <c r="S16" s="8"/>
      <c r="T16" s="8"/>
      <c r="U16" s="8"/>
      <c r="V16" s="8"/>
      <c r="W16" s="8"/>
      <c r="X16" s="8"/>
      <c r="Y16" s="8"/>
      <c r="Z16" s="8"/>
      <c r="AA16" s="8"/>
      <c r="AB16" s="8"/>
      <c r="AC16" s="9"/>
      <c r="AD16" s="9"/>
      <c r="AE16" s="9"/>
      <c r="AF16" s="9"/>
      <c r="AG16" s="9"/>
      <c r="AH16" s="105"/>
      <c r="AI16" s="105"/>
      <c r="AJ16" s="105"/>
      <c r="AK16" s="105"/>
    </row>
    <row r="17" spans="1:37">
      <c r="A17" s="127" t="s">
        <v>22</v>
      </c>
      <c r="B17" s="135">
        <f>'Verif Poutre'!C36/100*0.2</f>
        <v>0.30000000000000004</v>
      </c>
      <c r="C17" s="129">
        <f>B17*$B$8</f>
        <v>0.36000000000000004</v>
      </c>
      <c r="D17" s="130">
        <f>IF(OR(AND(B19&lt;&gt;0,B19&lt;&gt;""),AND(B20&lt;&gt;0,B20&lt;&gt;"")),1,1.2)</f>
        <v>1.2</v>
      </c>
      <c r="E17" s="131">
        <f t="shared" si="0"/>
        <v>0.43200000000000005</v>
      </c>
      <c r="F17" s="132">
        <v>1.5</v>
      </c>
      <c r="G17" s="131">
        <f t="shared" si="1"/>
        <v>0.54</v>
      </c>
      <c r="I17" s="102"/>
      <c r="J17" s="102"/>
      <c r="K17" s="8"/>
      <c r="L17" s="110" t="s">
        <v>208</v>
      </c>
      <c r="M17" s="126"/>
      <c r="N17" s="134"/>
      <c r="O17" s="115"/>
      <c r="P17" s="115"/>
      <c r="Q17" s="8"/>
      <c r="R17" s="115"/>
      <c r="S17" s="8"/>
      <c r="T17" s="8"/>
      <c r="U17" s="8"/>
      <c r="V17" s="8"/>
      <c r="W17" s="8"/>
      <c r="X17" s="8"/>
      <c r="Y17" s="8"/>
      <c r="Z17" s="8"/>
      <c r="AA17" s="8"/>
      <c r="AB17" s="8"/>
      <c r="AC17" s="9"/>
      <c r="AD17" s="9"/>
      <c r="AE17" s="9"/>
      <c r="AF17" s="9"/>
      <c r="AG17" s="9"/>
      <c r="AH17" s="105"/>
      <c r="AI17" s="105"/>
      <c r="AJ17" s="105"/>
      <c r="AK17" s="105"/>
    </row>
    <row r="18" spans="1:37">
      <c r="A18" s="127" t="s">
        <v>23</v>
      </c>
      <c r="B18" s="135">
        <f>'Verif Poutre'!C36/100*0.8</f>
        <v>1.2000000000000002</v>
      </c>
      <c r="C18" s="129">
        <f>B18*$B$8</f>
        <v>1.4400000000000002</v>
      </c>
      <c r="D18" s="130">
        <f>IF(OR(AND(B19&lt;&gt;0,B19&lt;&gt;""),AND(B20&lt;&gt;0,B20&lt;&gt;"")),1,1.2)</f>
        <v>1.2</v>
      </c>
      <c r="E18" s="131">
        <f t="shared" si="0"/>
        <v>1.7280000000000002</v>
      </c>
      <c r="F18" s="132">
        <v>1.5</v>
      </c>
      <c r="G18" s="131">
        <f t="shared" si="1"/>
        <v>2.16</v>
      </c>
      <c r="I18" s="102"/>
      <c r="J18" s="102"/>
      <c r="K18" s="8"/>
      <c r="L18" s="110" t="s">
        <v>209</v>
      </c>
      <c r="M18" s="126"/>
      <c r="N18" s="134"/>
      <c r="O18" s="115"/>
      <c r="P18" s="115"/>
      <c r="Q18" s="8"/>
      <c r="R18" s="115"/>
      <c r="S18" s="8"/>
      <c r="T18" s="8"/>
      <c r="U18" s="8"/>
      <c r="V18" s="8"/>
      <c r="W18" s="8"/>
      <c r="X18" s="8"/>
      <c r="Y18" s="8"/>
      <c r="Z18" s="8"/>
      <c r="AA18" s="8"/>
      <c r="AB18" s="8"/>
      <c r="AC18" s="9"/>
      <c r="AD18" s="9"/>
      <c r="AE18" s="9"/>
      <c r="AF18" s="9"/>
      <c r="AG18" s="9"/>
      <c r="AH18" s="105"/>
      <c r="AI18" s="105"/>
      <c r="AJ18" s="105"/>
      <c r="AK18" s="105"/>
    </row>
    <row r="19" spans="1:37">
      <c r="A19" s="127" t="s">
        <v>24</v>
      </c>
      <c r="B19" s="135">
        <f>'Verif Poutre'!C37/100</f>
        <v>0</v>
      </c>
      <c r="C19" s="129">
        <f>B19*$B$8</f>
        <v>0</v>
      </c>
      <c r="D19" s="130">
        <f>IF(B19&lt;&gt;0,1,0)</f>
        <v>0</v>
      </c>
      <c r="E19" s="131">
        <f t="shared" si="0"/>
        <v>0</v>
      </c>
      <c r="F19" s="132">
        <f>IF(B19&lt;&gt;0,1.1*1.75,0)</f>
        <v>0</v>
      </c>
      <c r="G19" s="131">
        <f t="shared" si="1"/>
        <v>0</v>
      </c>
      <c r="I19" s="102"/>
      <c r="J19" s="102"/>
      <c r="K19" s="8"/>
      <c r="L19" s="110" t="s">
        <v>228</v>
      </c>
      <c r="M19" s="126"/>
      <c r="N19" s="134"/>
      <c r="O19" s="115"/>
      <c r="P19" s="115"/>
      <c r="Q19" s="8"/>
      <c r="R19" s="115"/>
      <c r="S19" s="8"/>
      <c r="T19" s="8"/>
      <c r="U19" s="8"/>
      <c r="V19" s="8"/>
      <c r="W19" s="8"/>
      <c r="X19" s="8"/>
      <c r="Y19" s="8"/>
      <c r="Z19" s="8"/>
      <c r="AA19" s="8"/>
      <c r="AB19" s="8"/>
      <c r="AC19" s="9"/>
      <c r="AD19" s="9"/>
      <c r="AE19" s="9"/>
      <c r="AF19" s="9"/>
      <c r="AG19" s="9"/>
      <c r="AH19" s="105"/>
      <c r="AI19" s="105"/>
      <c r="AJ19" s="105"/>
      <c r="AK19" s="105"/>
    </row>
    <row r="20" spans="1:37">
      <c r="A20" s="136" t="s">
        <v>25</v>
      </c>
      <c r="B20" s="137">
        <f>'Verif Poutre'!C38/100</f>
        <v>0</v>
      </c>
      <c r="C20" s="138">
        <f>B20*$B$8</f>
        <v>0</v>
      </c>
      <c r="D20" s="139">
        <f>IF(B20&lt;&gt;0,IF(B19&lt;&gt;0,0.5,1),0)</f>
        <v>0</v>
      </c>
      <c r="E20" s="140">
        <f t="shared" si="0"/>
        <v>0</v>
      </c>
      <c r="F20" s="141">
        <f>IF(B20&lt;&gt;0,IF(B19&lt;&gt;0,0.55*1.75,1.1*1.75),0)</f>
        <v>0</v>
      </c>
      <c r="G20" s="140">
        <f t="shared" si="1"/>
        <v>0</v>
      </c>
      <c r="I20" s="102"/>
      <c r="J20" s="102"/>
      <c r="K20" s="8"/>
      <c r="L20" s="110" t="s">
        <v>210</v>
      </c>
      <c r="M20" s="126"/>
      <c r="N20" s="134"/>
      <c r="O20" s="115"/>
      <c r="P20" s="115"/>
      <c r="Q20" s="8"/>
      <c r="R20" s="115"/>
      <c r="S20" s="8"/>
      <c r="T20" s="8"/>
      <c r="U20" s="8"/>
      <c r="V20" s="8"/>
      <c r="W20" s="39"/>
      <c r="X20" s="39"/>
      <c r="Y20" s="39"/>
      <c r="Z20" s="8"/>
      <c r="AA20" s="8"/>
      <c r="AB20" s="8"/>
      <c r="AC20" s="9"/>
      <c r="AD20" s="9"/>
      <c r="AE20" s="9"/>
      <c r="AF20" s="9"/>
      <c r="AG20" s="9"/>
      <c r="AH20" s="105"/>
      <c r="AI20" s="105"/>
      <c r="AJ20" s="105"/>
      <c r="AK20" s="105"/>
    </row>
    <row r="21" spans="1:37" ht="18">
      <c r="D21" s="107"/>
      <c r="E21" s="108"/>
      <c r="I21" s="102"/>
      <c r="J21" s="102"/>
      <c r="K21" s="8"/>
      <c r="L21" s="110"/>
      <c r="M21" s="110"/>
      <c r="N21" s="110"/>
      <c r="O21" s="77"/>
      <c r="P21" s="77"/>
      <c r="Q21" s="8"/>
      <c r="R21" s="8"/>
      <c r="S21" s="8"/>
      <c r="T21" s="91"/>
      <c r="U21" s="321"/>
      <c r="V21" s="39"/>
      <c r="W21" s="39"/>
      <c r="X21" s="39"/>
      <c r="Y21" s="39"/>
      <c r="Z21" s="8"/>
      <c r="AA21" s="8"/>
      <c r="AB21" s="8"/>
      <c r="AC21" s="9"/>
      <c r="AD21" s="9"/>
      <c r="AE21" s="9"/>
      <c r="AF21" s="9"/>
      <c r="AG21" s="9"/>
      <c r="AH21" s="105"/>
      <c r="AI21" s="105"/>
      <c r="AJ21" s="105"/>
      <c r="AK21" s="105"/>
    </row>
    <row r="22" spans="1:37" ht="18">
      <c r="A22" s="111" t="s">
        <v>26</v>
      </c>
      <c r="D22" s="107"/>
      <c r="E22" s="108"/>
      <c r="I22" s="102"/>
      <c r="J22" s="102"/>
      <c r="K22" s="8"/>
      <c r="L22" s="112"/>
      <c r="M22" s="110"/>
      <c r="N22" s="110"/>
      <c r="O22" s="76"/>
      <c r="P22" s="77"/>
      <c r="Q22" s="8"/>
      <c r="R22" s="8"/>
      <c r="S22" s="8"/>
      <c r="T22" s="91"/>
      <c r="U22" s="321"/>
      <c r="V22" s="39"/>
      <c r="W22" s="39"/>
      <c r="X22" s="39"/>
      <c r="Y22" s="39"/>
      <c r="Z22" s="8"/>
      <c r="AA22" s="8"/>
      <c r="AB22" s="8"/>
      <c r="AC22" s="9"/>
      <c r="AD22" s="9"/>
      <c r="AE22" s="9"/>
      <c r="AF22" s="9"/>
      <c r="AG22" s="9"/>
      <c r="AH22" s="105"/>
      <c r="AI22" s="105"/>
      <c r="AJ22" s="105"/>
      <c r="AK22" s="105"/>
    </row>
    <row r="23" spans="1:37" ht="18">
      <c r="A23" s="111"/>
      <c r="D23" s="107"/>
      <c r="E23" s="108"/>
      <c r="I23" s="102"/>
      <c r="J23" s="102"/>
      <c r="K23" s="8"/>
      <c r="L23" s="112"/>
      <c r="M23" s="110"/>
      <c r="N23" s="110"/>
      <c r="O23" s="76"/>
      <c r="P23" s="77"/>
      <c r="Q23" s="8"/>
      <c r="R23" s="8"/>
      <c r="S23" s="8"/>
      <c r="T23" s="91"/>
      <c r="U23" s="321"/>
      <c r="V23" s="39"/>
      <c r="W23" s="39"/>
      <c r="X23" s="39"/>
      <c r="Y23" s="39"/>
      <c r="Z23" s="8"/>
      <c r="AA23" s="39"/>
      <c r="AB23" s="8"/>
      <c r="AC23" s="9"/>
      <c r="AD23" s="9"/>
      <c r="AE23" s="9"/>
      <c r="AF23" s="9"/>
      <c r="AG23" s="9"/>
      <c r="AH23" s="105"/>
      <c r="AI23" s="105"/>
      <c r="AJ23" s="105"/>
      <c r="AK23" s="105"/>
    </row>
    <row r="24" spans="1:37" ht="18">
      <c r="A24" s="7" t="s">
        <v>27</v>
      </c>
      <c r="B24" s="7" t="s">
        <v>28</v>
      </c>
      <c r="C24" s="142">
        <f>C15+C16+C17</f>
        <v>2.3662499999999995</v>
      </c>
      <c r="E24" s="142"/>
      <c r="I24" s="102"/>
      <c r="J24" s="102"/>
      <c r="K24" s="8"/>
      <c r="L24" s="110"/>
      <c r="M24" s="110"/>
      <c r="N24" s="143"/>
      <c r="O24" s="8"/>
      <c r="P24" s="115"/>
      <c r="Q24" s="8"/>
      <c r="R24" s="8"/>
      <c r="S24" s="8"/>
      <c r="T24" s="91"/>
      <c r="U24" s="321"/>
      <c r="V24" s="39"/>
      <c r="W24" s="39"/>
      <c r="X24" s="39"/>
      <c r="Y24" s="39"/>
      <c r="Z24" s="8"/>
      <c r="AA24" s="39"/>
      <c r="AB24" s="8"/>
      <c r="AC24" s="9"/>
      <c r="AD24" s="9"/>
      <c r="AE24" s="9"/>
      <c r="AF24" s="9"/>
      <c r="AG24" s="9"/>
      <c r="AH24" s="105"/>
      <c r="AI24" s="105"/>
      <c r="AJ24" s="105"/>
      <c r="AK24" s="105"/>
    </row>
    <row r="25" spans="1:37" ht="18">
      <c r="A25" s="7" t="s">
        <v>29</v>
      </c>
      <c r="B25" s="7" t="s">
        <v>28</v>
      </c>
      <c r="C25" s="142">
        <f>C18+C19+C20</f>
        <v>1.4400000000000002</v>
      </c>
      <c r="E25" s="142"/>
      <c r="I25" s="102"/>
      <c r="J25" s="102"/>
      <c r="K25" s="8"/>
      <c r="L25" s="110"/>
      <c r="M25" s="110"/>
      <c r="N25" s="143"/>
      <c r="O25" s="8"/>
      <c r="P25" s="115"/>
      <c r="Q25" s="8"/>
      <c r="R25" s="8"/>
      <c r="S25" s="8"/>
      <c r="T25" s="91"/>
      <c r="U25" s="39"/>
      <c r="V25" s="39"/>
      <c r="W25" s="39"/>
      <c r="X25" s="39"/>
      <c r="Y25" s="39"/>
      <c r="Z25" s="8"/>
      <c r="AA25" s="39"/>
      <c r="AB25" s="8"/>
      <c r="AC25" s="9"/>
      <c r="AD25" s="9"/>
      <c r="AE25" s="9"/>
      <c r="AF25" s="9"/>
      <c r="AG25" s="9"/>
      <c r="AH25" s="105"/>
      <c r="AI25" s="105"/>
      <c r="AJ25" s="105"/>
      <c r="AK25" s="105"/>
    </row>
    <row r="26" spans="1:37" ht="18">
      <c r="A26" s="82" t="s">
        <v>30</v>
      </c>
      <c r="B26" s="7" t="s">
        <v>28</v>
      </c>
      <c r="C26" s="144">
        <f>SUM(C15:C20)</f>
        <v>3.8062499999999995</v>
      </c>
      <c r="E26" s="144">
        <f>SUM(E15:E20)</f>
        <v>4.1662499999999998</v>
      </c>
      <c r="G26" s="144">
        <f>SUM(G15:G20)</f>
        <v>4.9068750000000003</v>
      </c>
      <c r="I26" s="102"/>
      <c r="J26" s="102"/>
      <c r="K26" s="8"/>
      <c r="L26" s="145"/>
      <c r="M26" s="110"/>
      <c r="N26" s="143"/>
      <c r="O26" s="8"/>
      <c r="P26" s="144"/>
      <c r="Q26" s="8"/>
      <c r="R26" s="144"/>
      <c r="S26" s="8"/>
      <c r="T26" s="91"/>
      <c r="U26" s="39"/>
      <c r="V26" s="39"/>
      <c r="W26" s="39"/>
      <c r="X26" s="39"/>
      <c r="Y26" s="39"/>
      <c r="Z26" s="8"/>
      <c r="AA26" s="39"/>
      <c r="AB26" s="8"/>
      <c r="AC26" s="9"/>
      <c r="AD26" s="9"/>
      <c r="AE26" s="9"/>
      <c r="AF26" s="9"/>
      <c r="AG26" s="9"/>
      <c r="AH26" s="105"/>
      <c r="AI26" s="105"/>
      <c r="AJ26" s="105"/>
      <c r="AK26" s="105"/>
    </row>
    <row r="27" spans="1:37">
      <c r="A27" s="82" t="s">
        <v>31</v>
      </c>
      <c r="B27" s="82" t="s">
        <v>32</v>
      </c>
      <c r="C27" s="144">
        <f>C24*$B$9^2/8</f>
        <v>5.9895703124999988</v>
      </c>
      <c r="D27" s="72"/>
      <c r="E27" s="144"/>
      <c r="G27" s="144"/>
      <c r="I27" s="102"/>
      <c r="J27" s="102"/>
      <c r="K27" s="8"/>
      <c r="L27" s="145"/>
      <c r="M27" s="145"/>
      <c r="N27" s="143"/>
      <c r="O27" s="72"/>
      <c r="P27" s="144"/>
      <c r="Q27" s="8"/>
      <c r="R27" s="144"/>
      <c r="S27" s="8"/>
      <c r="T27" s="146"/>
      <c r="U27" s="39"/>
      <c r="V27" s="39"/>
      <c r="W27" s="39"/>
      <c r="X27" s="39"/>
      <c r="Y27" s="39"/>
      <c r="Z27" s="8"/>
      <c r="AA27" s="39"/>
      <c r="AB27" s="8"/>
      <c r="AC27" s="9"/>
      <c r="AD27" s="9"/>
      <c r="AE27" s="9"/>
      <c r="AF27" s="9"/>
      <c r="AG27" s="9"/>
      <c r="AH27" s="105"/>
      <c r="AI27" s="105"/>
      <c r="AJ27" s="105"/>
      <c r="AK27" s="105"/>
    </row>
    <row r="28" spans="1:37">
      <c r="A28" s="82" t="s">
        <v>33</v>
      </c>
      <c r="B28" s="82" t="s">
        <v>32</v>
      </c>
      <c r="C28" s="144">
        <f>C25*$B$9^2/8</f>
        <v>3.6450000000000005</v>
      </c>
      <c r="D28" s="72"/>
      <c r="E28" s="144"/>
      <c r="G28" s="144"/>
      <c r="I28" s="102"/>
      <c r="J28" s="102"/>
      <c r="K28" s="8"/>
      <c r="L28" s="145"/>
      <c r="M28" s="145"/>
      <c r="N28" s="143"/>
      <c r="O28" s="72"/>
      <c r="P28" s="144"/>
      <c r="Q28" s="8"/>
      <c r="R28" s="144"/>
      <c r="S28" s="8"/>
      <c r="T28" s="146"/>
      <c r="U28" s="39"/>
      <c r="V28" s="39"/>
      <c r="W28" s="39"/>
      <c r="X28" s="39"/>
      <c r="Y28" s="39"/>
      <c r="Z28" s="8"/>
      <c r="AA28" s="39"/>
      <c r="AB28" s="8"/>
      <c r="AC28" s="9"/>
      <c r="AD28" s="9"/>
      <c r="AE28" s="9"/>
      <c r="AF28" s="9"/>
      <c r="AG28" s="9"/>
      <c r="AH28" s="105"/>
      <c r="AI28" s="105"/>
      <c r="AJ28" s="105"/>
      <c r="AK28" s="105"/>
    </row>
    <row r="29" spans="1:37" ht="18">
      <c r="A29" s="82" t="s">
        <v>34</v>
      </c>
      <c r="B29" s="82" t="s">
        <v>32</v>
      </c>
      <c r="C29" s="144">
        <f>C26*$B$9^2/8</f>
        <v>9.6345703124999993</v>
      </c>
      <c r="D29" s="147"/>
      <c r="E29" s="144">
        <f>E26*$B$9^2/8</f>
        <v>10.5458203125</v>
      </c>
      <c r="G29" s="144">
        <f>G26*$B$9^2/8</f>
        <v>12.420527343750001</v>
      </c>
      <c r="I29" s="102"/>
      <c r="J29" s="102"/>
      <c r="K29" s="8"/>
      <c r="L29" s="145"/>
      <c r="M29" s="145"/>
      <c r="N29" s="143"/>
      <c r="O29" s="147"/>
      <c r="P29" s="144"/>
      <c r="Q29" s="8"/>
      <c r="R29" s="144"/>
      <c r="S29" s="8"/>
      <c r="T29" s="91"/>
      <c r="U29" s="39"/>
      <c r="V29" s="39"/>
      <c r="W29" s="308"/>
      <c r="X29" s="308"/>
      <c r="Y29" s="308"/>
      <c r="Z29" s="8"/>
      <c r="AA29" s="39"/>
      <c r="AB29" s="8"/>
      <c r="AC29" s="9"/>
      <c r="AD29" s="9"/>
      <c r="AE29" s="9"/>
      <c r="AF29" s="9"/>
      <c r="AG29" s="9"/>
      <c r="AH29" s="105"/>
      <c r="AI29" s="105"/>
      <c r="AJ29" s="105"/>
      <c r="AK29" s="105"/>
    </row>
    <row r="30" spans="1:37" ht="18">
      <c r="A30" s="148" t="s">
        <v>35</v>
      </c>
      <c r="B30" s="74" t="s">
        <v>36</v>
      </c>
      <c r="C30" s="144">
        <f>C27*10^4/($D$208/($D$204/2))</f>
        <v>38.333249999999992</v>
      </c>
      <c r="D30" s="72"/>
      <c r="E30" s="144"/>
      <c r="G30" s="144"/>
      <c r="I30" s="102"/>
      <c r="J30" s="102"/>
      <c r="K30" s="8"/>
      <c r="L30" s="149"/>
      <c r="M30" s="150"/>
      <c r="N30" s="143"/>
      <c r="O30" s="72"/>
      <c r="P30" s="144"/>
      <c r="Q30" s="8"/>
      <c r="R30" s="144"/>
      <c r="S30" s="8"/>
      <c r="T30" s="8"/>
      <c r="U30" s="8"/>
      <c r="V30" s="8"/>
      <c r="W30" s="8"/>
      <c r="X30" s="8"/>
      <c r="Y30" s="8"/>
      <c r="Z30" s="8"/>
      <c r="AA30" s="8"/>
      <c r="AB30" s="8"/>
      <c r="AC30" s="9"/>
      <c r="AD30" s="9"/>
      <c r="AE30" s="9"/>
      <c r="AF30" s="9"/>
      <c r="AG30" s="9"/>
      <c r="AH30" s="105"/>
      <c r="AI30" s="105"/>
      <c r="AJ30" s="105"/>
      <c r="AK30" s="105"/>
    </row>
    <row r="31" spans="1:37" ht="18">
      <c r="A31" s="148" t="s">
        <v>37</v>
      </c>
      <c r="B31" s="74" t="s">
        <v>36</v>
      </c>
      <c r="C31" s="144">
        <f>C28*10^4/($D$208/($D$204/2))</f>
        <v>23.328000000000003</v>
      </c>
      <c r="D31" s="72"/>
      <c r="E31" s="144"/>
      <c r="G31" s="144"/>
      <c r="I31" s="102"/>
      <c r="J31" s="102"/>
      <c r="K31" s="8"/>
      <c r="L31" s="149"/>
      <c r="M31" s="150"/>
      <c r="N31" s="143"/>
      <c r="O31" s="72"/>
      <c r="P31" s="144"/>
      <c r="Q31" s="8"/>
      <c r="R31" s="144"/>
      <c r="S31" s="8"/>
      <c r="T31" s="8"/>
      <c r="U31" s="8"/>
      <c r="V31" s="8"/>
      <c r="W31" s="8"/>
      <c r="X31" s="8"/>
      <c r="Y31" s="8"/>
      <c r="Z31" s="8"/>
      <c r="AA31" s="8"/>
      <c r="AB31" s="8"/>
      <c r="AC31" s="9"/>
      <c r="AD31" s="9"/>
      <c r="AE31" s="9"/>
      <c r="AF31" s="9"/>
      <c r="AG31" s="9"/>
      <c r="AH31" s="105"/>
      <c r="AI31" s="105"/>
      <c r="AJ31" s="105"/>
      <c r="AK31" s="105"/>
    </row>
    <row r="32" spans="1:37" ht="18">
      <c r="A32" s="148" t="s">
        <v>38</v>
      </c>
      <c r="B32" s="74" t="s">
        <v>36</v>
      </c>
      <c r="C32" s="144">
        <f>C29*10^4/($D$208/($D$204/2))</f>
        <v>61.661250000000003</v>
      </c>
      <c r="D32" s="72"/>
      <c r="E32" s="144">
        <f>E29*10^4/($D$208/($D$204/2))</f>
        <v>67.493250000000003</v>
      </c>
      <c r="G32" s="144">
        <f>G29*10^4/($D$208/($D$204/2))</f>
        <v>79.491375000000005</v>
      </c>
      <c r="I32" s="102"/>
      <c r="J32" s="102"/>
      <c r="K32" s="8"/>
      <c r="L32" s="149"/>
      <c r="M32" s="150"/>
      <c r="N32" s="143"/>
      <c r="O32" s="72"/>
      <c r="P32" s="144"/>
      <c r="Q32" s="8"/>
      <c r="R32" s="144"/>
      <c r="S32" s="8"/>
      <c r="T32" s="8"/>
      <c r="U32" s="8"/>
      <c r="V32" s="8"/>
      <c r="W32" s="8"/>
      <c r="X32" s="8"/>
      <c r="Y32" s="8"/>
      <c r="Z32" s="8"/>
      <c r="AA32" s="8"/>
      <c r="AB32" s="8"/>
      <c r="AC32" s="9"/>
      <c r="AD32" s="9"/>
      <c r="AE32" s="9"/>
      <c r="AF32" s="9"/>
      <c r="AG32" s="9"/>
      <c r="AH32" s="105"/>
      <c r="AI32" s="105"/>
      <c r="AJ32" s="105"/>
      <c r="AK32" s="105"/>
    </row>
    <row r="33" spans="1:37" ht="20.25">
      <c r="A33" s="148" t="s">
        <v>39</v>
      </c>
      <c r="B33" s="74" t="s">
        <v>36</v>
      </c>
      <c r="C33" s="144">
        <f>$C$125</f>
        <v>108.99999999999999</v>
      </c>
      <c r="D33" s="72"/>
      <c r="E33" s="144">
        <f>$C$125</f>
        <v>108.99999999999999</v>
      </c>
      <c r="G33" s="144">
        <f>F125</f>
        <v>190.74999999999997</v>
      </c>
      <c r="I33" s="102"/>
      <c r="J33" s="102"/>
      <c r="K33" s="8"/>
      <c r="L33" s="149"/>
      <c r="M33" s="150"/>
      <c r="N33" s="143"/>
      <c r="O33" s="72"/>
      <c r="P33" s="144"/>
      <c r="Q33" s="8"/>
      <c r="R33" s="144"/>
      <c r="S33" s="8"/>
      <c r="T33" s="8"/>
      <c r="U33" s="8"/>
      <c r="V33" s="8"/>
      <c r="W33" s="8"/>
      <c r="X33" s="8"/>
      <c r="Y33" s="8"/>
      <c r="Z33" s="8"/>
      <c r="AA33" s="8"/>
      <c r="AB33" s="8"/>
      <c r="AC33" s="9"/>
      <c r="AD33" s="9"/>
      <c r="AE33" s="9"/>
      <c r="AF33" s="9"/>
      <c r="AG33" s="9"/>
      <c r="AH33" s="105"/>
      <c r="AI33" s="105"/>
      <c r="AJ33" s="105"/>
      <c r="AK33" s="105"/>
    </row>
    <row r="34" spans="1:37">
      <c r="A34" s="29"/>
      <c r="B34" s="74"/>
      <c r="C34" s="144"/>
      <c r="D34" s="72"/>
      <c r="E34" s="144"/>
      <c r="I34" s="102"/>
      <c r="J34" s="102"/>
      <c r="K34" s="8"/>
      <c r="L34" s="110"/>
      <c r="M34" s="150"/>
      <c r="N34" s="143"/>
      <c r="O34" s="72"/>
      <c r="P34" s="144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9"/>
      <c r="AD34" s="9"/>
      <c r="AE34" s="9"/>
      <c r="AF34" s="9"/>
      <c r="AG34" s="9"/>
      <c r="AH34" s="105"/>
      <c r="AI34" s="105"/>
      <c r="AJ34" s="105"/>
      <c r="AK34" s="105"/>
    </row>
    <row r="35" spans="1:37" ht="18">
      <c r="A35" s="148"/>
      <c r="C35" s="151">
        <f>C30/C33</f>
        <v>0.35168119266055042</v>
      </c>
      <c r="D35" s="107"/>
      <c r="E35" s="151"/>
      <c r="I35" s="102"/>
      <c r="J35" s="102"/>
      <c r="K35" s="8"/>
      <c r="L35" s="149"/>
      <c r="M35" s="110"/>
      <c r="N35" s="145"/>
      <c r="O35" s="76"/>
      <c r="P35" s="152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9"/>
      <c r="AD35" s="9"/>
      <c r="AE35" s="9"/>
      <c r="AF35" s="9"/>
      <c r="AG35" s="9"/>
      <c r="AH35" s="105"/>
      <c r="AI35" s="105"/>
      <c r="AJ35" s="105"/>
      <c r="AK35" s="105"/>
    </row>
    <row r="36" spans="1:37">
      <c r="A36" s="82" t="s">
        <v>40</v>
      </c>
      <c r="C36" s="153">
        <v>0.15</v>
      </c>
      <c r="D36" s="107"/>
      <c r="E36" s="154"/>
      <c r="I36" s="102"/>
      <c r="J36" s="102"/>
      <c r="K36" s="8"/>
      <c r="L36" s="145" t="s">
        <v>213</v>
      </c>
      <c r="M36" s="110"/>
      <c r="N36" s="155"/>
      <c r="O36" s="76"/>
      <c r="P36" s="156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9"/>
      <c r="AD36" s="9"/>
      <c r="AE36" s="9"/>
      <c r="AF36" s="9"/>
      <c r="AG36" s="9"/>
      <c r="AH36" s="105"/>
      <c r="AI36" s="105"/>
      <c r="AJ36" s="105"/>
      <c r="AK36" s="105"/>
    </row>
    <row r="37" spans="1:37">
      <c r="A37" s="157" t="s">
        <v>41</v>
      </c>
      <c r="C37" s="153">
        <v>0.05</v>
      </c>
      <c r="D37" s="107"/>
      <c r="E37" s="154"/>
      <c r="I37" s="102"/>
      <c r="J37" s="102"/>
      <c r="K37" s="8"/>
      <c r="L37" s="158" t="s">
        <v>214</v>
      </c>
      <c r="M37" s="110"/>
      <c r="N37" s="155"/>
      <c r="O37" s="76"/>
      <c r="P37" s="156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9"/>
      <c r="AD37" s="9"/>
      <c r="AE37" s="9"/>
      <c r="AF37" s="9"/>
      <c r="AG37" s="9"/>
      <c r="AH37" s="105"/>
      <c r="AI37" s="105"/>
      <c r="AJ37" s="105"/>
      <c r="AK37" s="105"/>
    </row>
    <row r="38" spans="1:37">
      <c r="A38" s="7" t="s">
        <v>42</v>
      </c>
      <c r="C38" s="151">
        <f>MAX(1,(1+(C36*100+C37*100)*(C30-0.2*C33)*(15+C37*100)/(240*C33)))</f>
        <v>1.252801987767584</v>
      </c>
      <c r="D38" s="107"/>
      <c r="E38" s="120" t="s">
        <v>43</v>
      </c>
      <c r="F38" s="118"/>
      <c r="G38" s="119"/>
      <c r="I38" s="102"/>
      <c r="J38" s="102"/>
      <c r="K38" s="8"/>
      <c r="L38" s="110"/>
      <c r="M38" s="110"/>
      <c r="N38" s="110"/>
      <c r="O38" s="76"/>
      <c r="P38" s="96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9"/>
      <c r="AD38" s="9"/>
      <c r="AE38" s="9"/>
      <c r="AF38" s="9"/>
      <c r="AG38" s="9"/>
      <c r="AH38" s="105"/>
      <c r="AI38" s="105"/>
      <c r="AJ38" s="105"/>
      <c r="AK38" s="105"/>
    </row>
    <row r="39" spans="1:37">
      <c r="A39" s="7" t="s">
        <v>44</v>
      </c>
      <c r="C39" s="107">
        <f>18.07*SQRT(C41*10)</f>
        <v>58.509995657388906</v>
      </c>
      <c r="D39" s="107" t="s">
        <v>45</v>
      </c>
      <c r="E39" s="127"/>
      <c r="F39" s="29"/>
      <c r="G39" s="159"/>
      <c r="I39" s="102"/>
      <c r="J39" s="102"/>
      <c r="K39" s="8"/>
      <c r="L39" s="110"/>
      <c r="M39" s="110"/>
      <c r="N39" s="110"/>
      <c r="O39" s="76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9"/>
      <c r="AD39" s="9"/>
      <c r="AE39" s="9"/>
      <c r="AF39" s="9"/>
      <c r="AG39" s="9"/>
      <c r="AH39" s="105"/>
      <c r="AI39" s="105"/>
      <c r="AJ39" s="105"/>
      <c r="AK39" s="105"/>
    </row>
    <row r="40" spans="1:37">
      <c r="A40" s="7" t="s">
        <v>46</v>
      </c>
      <c r="B40" s="74" t="s">
        <v>36</v>
      </c>
      <c r="C40" s="160">
        <f>L125</f>
        <v>114843.37159801603</v>
      </c>
      <c r="D40" s="107"/>
      <c r="E40" s="127" t="s">
        <v>47</v>
      </c>
      <c r="F40" s="29"/>
      <c r="G40" s="159" t="s">
        <v>48</v>
      </c>
      <c r="I40" s="102"/>
      <c r="J40" s="102"/>
      <c r="K40" s="8"/>
      <c r="L40" s="110"/>
      <c r="M40" s="150"/>
      <c r="N40" s="161"/>
      <c r="O40" s="76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9"/>
      <c r="AD40" s="9"/>
      <c r="AE40" s="9"/>
      <c r="AF40" s="9"/>
      <c r="AG40" s="9"/>
      <c r="AH40" s="105"/>
      <c r="AI40" s="105"/>
      <c r="AJ40" s="105"/>
      <c r="AK40" s="105"/>
    </row>
    <row r="41" spans="1:37">
      <c r="A41" s="7" t="s">
        <v>49</v>
      </c>
      <c r="B41" s="74" t="s">
        <v>50</v>
      </c>
      <c r="C41" s="162">
        <f>(C38*(5*C24*B9^4/(384*C40*D208))+(5*C25*B9^4/(384*C40*D208)))*10^8</f>
        <v>1.0484405911548151</v>
      </c>
      <c r="E41" s="136" t="s">
        <v>51</v>
      </c>
      <c r="F41" s="163"/>
      <c r="G41" s="164" t="s">
        <v>52</v>
      </c>
      <c r="I41" s="102"/>
      <c r="J41" s="102"/>
      <c r="K41" s="8"/>
      <c r="L41" s="110"/>
      <c r="M41" s="150"/>
      <c r="N41" s="145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9"/>
      <c r="AD41" s="9"/>
      <c r="AE41" s="9"/>
      <c r="AF41" s="9"/>
      <c r="AG41" s="9"/>
      <c r="AH41" s="105"/>
      <c r="AI41" s="105"/>
      <c r="AJ41" s="105"/>
      <c r="AK41" s="105"/>
    </row>
    <row r="42" spans="1:37">
      <c r="I42" s="102"/>
      <c r="J42" s="102"/>
      <c r="K42" s="8"/>
      <c r="L42" s="110"/>
      <c r="M42" s="110"/>
      <c r="N42" s="110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9"/>
      <c r="AD42" s="9"/>
      <c r="AE42" s="9"/>
      <c r="AF42" s="9"/>
      <c r="AG42" s="9"/>
      <c r="AH42" s="105"/>
      <c r="AI42" s="105"/>
      <c r="AJ42" s="105"/>
      <c r="AK42" s="105"/>
    </row>
    <row r="43" spans="1:37" ht="16.5" thickBot="1">
      <c r="B43" s="74"/>
      <c r="C43" s="165" t="str">
        <f>IF(C41&lt;B9*100/400,"OK","FAUX")</f>
        <v>OK</v>
      </c>
      <c r="D43" s="166" t="s">
        <v>53</v>
      </c>
      <c r="E43" s="167"/>
      <c r="F43" s="167"/>
      <c r="G43" s="167" t="str">
        <f>CONCATENATE("1 / ",ROUNDUP(B9*100/C41,0)," éme")</f>
        <v>1 / 430 éme</v>
      </c>
      <c r="I43" s="102"/>
      <c r="J43" s="102"/>
      <c r="K43" s="8"/>
      <c r="L43" s="110" t="s">
        <v>218</v>
      </c>
      <c r="M43" s="150"/>
      <c r="N43" s="168"/>
      <c r="O43" s="84"/>
      <c r="P43" s="85"/>
      <c r="Q43" s="85"/>
      <c r="R43" s="85"/>
      <c r="S43" s="8"/>
      <c r="T43" s="8"/>
      <c r="U43" s="8"/>
      <c r="V43" s="8"/>
      <c r="W43" s="8"/>
      <c r="X43" s="8"/>
      <c r="Y43" s="8"/>
      <c r="Z43" s="8"/>
      <c r="AA43" s="8"/>
      <c r="AB43" s="8"/>
      <c r="AC43" s="9"/>
      <c r="AD43" s="9"/>
      <c r="AE43" s="9"/>
      <c r="AF43" s="9"/>
      <c r="AG43" s="9"/>
      <c r="AH43" s="105"/>
      <c r="AI43" s="105"/>
      <c r="AJ43" s="105"/>
      <c r="AK43" s="105"/>
    </row>
    <row r="44" spans="1:37">
      <c r="B44" s="74"/>
      <c r="C44" s="160"/>
      <c r="D44" s="107"/>
      <c r="E44" s="108"/>
      <c r="I44" s="102"/>
      <c r="J44" s="102"/>
      <c r="K44" s="8"/>
      <c r="L44" s="110" t="s">
        <v>211</v>
      </c>
      <c r="M44" s="150"/>
      <c r="N44" s="161"/>
      <c r="O44" s="76"/>
      <c r="P44" s="77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9"/>
      <c r="AD44" s="9"/>
      <c r="AE44" s="9"/>
      <c r="AF44" s="9"/>
      <c r="AG44" s="9"/>
      <c r="AH44" s="105"/>
      <c r="AI44" s="105"/>
      <c r="AJ44" s="105"/>
      <c r="AK44" s="105"/>
    </row>
    <row r="45" spans="1:37">
      <c r="A45" s="111" t="s">
        <v>226</v>
      </c>
      <c r="B45" s="74"/>
      <c r="C45" s="160"/>
      <c r="D45" s="107"/>
      <c r="E45" s="108"/>
      <c r="I45" s="102"/>
      <c r="J45" s="102"/>
      <c r="K45" s="8"/>
      <c r="L45" s="112"/>
      <c r="M45" s="150"/>
      <c r="N45" s="161"/>
      <c r="O45" s="76"/>
      <c r="P45" s="77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9"/>
      <c r="AD45" s="9"/>
      <c r="AE45" s="9"/>
      <c r="AF45" s="9"/>
      <c r="AG45" s="9"/>
      <c r="AH45" s="105"/>
      <c r="AI45" s="105"/>
      <c r="AJ45" s="105"/>
      <c r="AK45" s="105"/>
    </row>
    <row r="46" spans="1:37">
      <c r="A46" s="7" t="s">
        <v>54</v>
      </c>
      <c r="B46" s="169">
        <v>0</v>
      </c>
      <c r="C46" s="7" t="s">
        <v>55</v>
      </c>
      <c r="D46" s="107"/>
      <c r="E46" s="108"/>
      <c r="I46" s="102"/>
      <c r="J46" s="102"/>
      <c r="K46" s="8"/>
      <c r="L46" s="110"/>
      <c r="M46" s="110"/>
      <c r="N46" s="110"/>
      <c r="O46" s="76"/>
      <c r="P46" s="77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9"/>
      <c r="AD46" s="9"/>
      <c r="AE46" s="9"/>
      <c r="AF46" s="9"/>
      <c r="AG46" s="9"/>
      <c r="AH46" s="105"/>
      <c r="AI46" s="105"/>
      <c r="AJ46" s="105"/>
      <c r="AK46" s="105"/>
    </row>
    <row r="47" spans="1:37">
      <c r="A47" s="7" t="s">
        <v>56</v>
      </c>
      <c r="B47" s="169">
        <v>0</v>
      </c>
      <c r="C47" s="7" t="s">
        <v>55</v>
      </c>
      <c r="D47" s="170" t="s">
        <v>220</v>
      </c>
      <c r="E47" s="117"/>
      <c r="F47" s="118"/>
      <c r="G47" s="119"/>
      <c r="I47" s="102"/>
      <c r="J47" s="102"/>
      <c r="K47" s="8"/>
      <c r="L47" s="110" t="s">
        <v>215</v>
      </c>
      <c r="M47" s="110"/>
      <c r="N47" s="110"/>
      <c r="O47" s="76"/>
      <c r="P47" s="77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9"/>
      <c r="AD47" s="9"/>
      <c r="AE47" s="9"/>
      <c r="AF47" s="9"/>
      <c r="AG47" s="9"/>
      <c r="AH47" s="105"/>
      <c r="AI47" s="105"/>
      <c r="AJ47" s="105"/>
      <c r="AK47" s="105"/>
    </row>
    <row r="48" spans="1:37" ht="14.25" customHeight="1">
      <c r="A48" s="7" t="s">
        <v>57</v>
      </c>
      <c r="B48" s="171">
        <f>E29</f>
        <v>10.5458203125</v>
      </c>
      <c r="C48" s="7" t="s">
        <v>58</v>
      </c>
      <c r="D48" s="172" t="s">
        <v>130</v>
      </c>
      <c r="E48" s="173">
        <f>C128</f>
        <v>22</v>
      </c>
      <c r="F48" s="29" t="s">
        <v>198</v>
      </c>
      <c r="G48" s="159"/>
      <c r="I48" s="102"/>
      <c r="J48" s="102"/>
      <c r="K48" s="8"/>
      <c r="L48" s="110"/>
      <c r="M48" s="174"/>
      <c r="N48" s="110"/>
      <c r="O48" s="76"/>
      <c r="P48" s="77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9"/>
      <c r="AD48" s="9"/>
      <c r="AE48" s="9"/>
      <c r="AF48" s="9"/>
      <c r="AG48" s="9"/>
      <c r="AH48" s="105"/>
      <c r="AI48" s="105"/>
      <c r="AJ48" s="105"/>
      <c r="AK48" s="105"/>
    </row>
    <row r="49" spans="1:37">
      <c r="A49" s="7" t="s">
        <v>59</v>
      </c>
      <c r="B49" s="169">
        <v>0</v>
      </c>
      <c r="C49" s="7" t="s">
        <v>58</v>
      </c>
      <c r="D49" s="175"/>
      <c r="E49" s="173">
        <f>B50*100/C128</f>
        <v>42.609374999999993</v>
      </c>
      <c r="F49" s="29" t="s">
        <v>90</v>
      </c>
      <c r="G49" s="159"/>
      <c r="I49" s="102"/>
      <c r="J49" s="102"/>
      <c r="K49" s="8"/>
      <c r="L49" s="110" t="s">
        <v>216</v>
      </c>
      <c r="M49" s="110"/>
      <c r="N49" s="110"/>
      <c r="O49" s="76"/>
      <c r="P49" s="77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9"/>
      <c r="AD49" s="9"/>
      <c r="AE49" s="9"/>
      <c r="AF49" s="9"/>
      <c r="AG49" s="9"/>
      <c r="AH49" s="105"/>
      <c r="AI49" s="105"/>
      <c r="AJ49" s="105"/>
      <c r="AK49" s="105"/>
    </row>
    <row r="50" spans="1:37">
      <c r="A50" s="7" t="s">
        <v>60</v>
      </c>
      <c r="B50" s="171">
        <f>E26*B9/2</f>
        <v>9.3740624999999991</v>
      </c>
      <c r="C50" s="7" t="s">
        <v>55</v>
      </c>
      <c r="D50" s="176"/>
      <c r="E50" s="177">
        <f>ROUNDUP(E49/(B7*100),0)</f>
        <v>3</v>
      </c>
      <c r="F50" s="163" t="s">
        <v>82</v>
      </c>
      <c r="G50" s="164"/>
      <c r="I50" s="102"/>
      <c r="J50" s="102"/>
      <c r="K50" s="8"/>
      <c r="L50" s="110" t="s">
        <v>227</v>
      </c>
      <c r="M50" s="110"/>
      <c r="N50" s="110"/>
      <c r="O50" s="76"/>
      <c r="P50" s="77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9"/>
      <c r="AD50" s="9"/>
      <c r="AE50" s="9"/>
      <c r="AF50" s="9"/>
      <c r="AG50" s="9"/>
      <c r="AH50" s="105"/>
      <c r="AI50" s="105"/>
      <c r="AJ50" s="105"/>
      <c r="AK50" s="105"/>
    </row>
    <row r="51" spans="1:37">
      <c r="D51" s="107"/>
      <c r="E51" s="108"/>
      <c r="I51" s="102"/>
      <c r="J51" s="102"/>
      <c r="K51" s="8"/>
      <c r="L51" s="110"/>
      <c r="M51" s="110"/>
      <c r="N51" s="110"/>
      <c r="O51" s="76"/>
      <c r="P51" s="77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9"/>
      <c r="AD51" s="9"/>
      <c r="AE51" s="9"/>
      <c r="AF51" s="9"/>
      <c r="AG51" s="9"/>
      <c r="AH51" s="105"/>
      <c r="AI51" s="105"/>
      <c r="AJ51" s="105"/>
      <c r="AK51" s="105"/>
    </row>
    <row r="52" spans="1:37">
      <c r="B52" s="122" t="s">
        <v>61</v>
      </c>
      <c r="C52" s="178" t="s">
        <v>61</v>
      </c>
      <c r="D52" s="179" t="s">
        <v>62</v>
      </c>
      <c r="E52" s="178" t="s">
        <v>63</v>
      </c>
      <c r="F52" s="178" t="s">
        <v>64</v>
      </c>
      <c r="G52" s="124" t="s">
        <v>65</v>
      </c>
      <c r="I52" s="102"/>
      <c r="J52" s="102"/>
      <c r="K52" s="8"/>
      <c r="L52" s="110"/>
      <c r="M52" s="126"/>
      <c r="N52" s="126"/>
      <c r="O52" s="180"/>
      <c r="P52" s="39"/>
      <c r="Q52" s="39"/>
      <c r="R52" s="39"/>
      <c r="S52" s="8"/>
      <c r="T52" s="8"/>
      <c r="U52" s="8"/>
      <c r="V52" s="8"/>
      <c r="W52" s="8"/>
      <c r="X52" s="8"/>
      <c r="Y52" s="8"/>
      <c r="Z52" s="8"/>
      <c r="AA52" s="8"/>
      <c r="AB52" s="8"/>
      <c r="AC52" s="9"/>
      <c r="AD52" s="9"/>
      <c r="AE52" s="9"/>
      <c r="AF52" s="9"/>
      <c r="AG52" s="9"/>
      <c r="AH52" s="105"/>
      <c r="AI52" s="105"/>
      <c r="AJ52" s="105"/>
      <c r="AK52" s="105"/>
    </row>
    <row r="53" spans="1:37" ht="20.25">
      <c r="B53" s="181" t="s">
        <v>66</v>
      </c>
      <c r="C53" s="52" t="s">
        <v>67</v>
      </c>
      <c r="D53" s="52" t="s">
        <v>68</v>
      </c>
      <c r="E53" s="148" t="s">
        <v>69</v>
      </c>
      <c r="F53" s="148" t="s">
        <v>70</v>
      </c>
      <c r="G53" s="182"/>
      <c r="I53" s="102"/>
      <c r="J53" s="102"/>
      <c r="K53" s="8"/>
      <c r="L53" s="110"/>
      <c r="M53" s="126"/>
      <c r="N53" s="126"/>
      <c r="O53" s="39"/>
      <c r="P53" s="91"/>
      <c r="Q53" s="91"/>
      <c r="R53" s="39"/>
      <c r="S53" s="8"/>
      <c r="T53" s="8"/>
      <c r="U53" s="8"/>
      <c r="V53" s="8"/>
      <c r="W53" s="8"/>
      <c r="X53" s="8"/>
      <c r="Y53" s="8"/>
      <c r="Z53" s="8"/>
      <c r="AA53" s="8"/>
      <c r="AB53" s="8"/>
      <c r="AC53" s="9"/>
      <c r="AD53" s="9"/>
      <c r="AE53" s="9"/>
      <c r="AF53" s="9"/>
      <c r="AG53" s="9"/>
      <c r="AH53" s="105"/>
      <c r="AI53" s="105"/>
      <c r="AJ53" s="105"/>
      <c r="AK53" s="105"/>
    </row>
    <row r="54" spans="1:37">
      <c r="B54" s="181" t="s">
        <v>71</v>
      </c>
      <c r="C54" s="52" t="s">
        <v>71</v>
      </c>
      <c r="D54" s="52"/>
      <c r="E54" s="52" t="s">
        <v>36</v>
      </c>
      <c r="F54" s="52" t="s">
        <v>36</v>
      </c>
      <c r="G54" s="182"/>
      <c r="I54" s="102"/>
      <c r="J54" s="102"/>
      <c r="K54" s="8"/>
      <c r="L54" s="110"/>
      <c r="M54" s="126"/>
      <c r="N54" s="126"/>
      <c r="O54" s="39"/>
      <c r="P54" s="39"/>
      <c r="Q54" s="39"/>
      <c r="R54" s="39"/>
      <c r="S54" s="8"/>
      <c r="T54" s="8"/>
      <c r="U54" s="8"/>
      <c r="V54" s="8"/>
      <c r="W54" s="8"/>
      <c r="X54" s="8"/>
      <c r="Y54" s="8"/>
      <c r="Z54" s="8"/>
      <c r="AA54" s="8"/>
      <c r="AB54" s="8"/>
      <c r="AC54" s="9"/>
      <c r="AD54" s="9"/>
      <c r="AE54" s="9"/>
      <c r="AF54" s="9"/>
      <c r="AG54" s="9"/>
      <c r="AH54" s="105"/>
      <c r="AI54" s="105"/>
      <c r="AJ54" s="105"/>
      <c r="AK54" s="105"/>
    </row>
    <row r="55" spans="1:37" ht="15.75">
      <c r="A55" s="183" t="s">
        <v>72</v>
      </c>
      <c r="B55" s="184"/>
      <c r="C55" s="185">
        <f>IF(B55&lt;&gt;"",B55,$D$209)</f>
        <v>375</v>
      </c>
      <c r="D55" s="179"/>
      <c r="E55" s="179">
        <f>C124</f>
        <v>86.999999999999986</v>
      </c>
      <c r="F55" s="179">
        <f>IF(B46&lt;0,"-",B46/C55*100)</f>
        <v>0</v>
      </c>
      <c r="G55" s="186">
        <f t="shared" ref="G55:G61" si="2">F55/E55</f>
        <v>0</v>
      </c>
      <c r="I55" s="102"/>
      <c r="J55" s="102"/>
      <c r="K55" s="8"/>
      <c r="L55" s="110" t="s">
        <v>217</v>
      </c>
      <c r="M55" s="187"/>
      <c r="N55" s="143"/>
      <c r="O55" s="180"/>
      <c r="P55" s="180"/>
      <c r="Q55" s="180"/>
      <c r="R55" s="188"/>
      <c r="S55" s="8"/>
      <c r="T55" s="8"/>
      <c r="U55" s="8"/>
      <c r="V55" s="8"/>
      <c r="W55" s="8"/>
      <c r="X55" s="8"/>
      <c r="Y55" s="8"/>
      <c r="Z55" s="8"/>
      <c r="AA55" s="8"/>
      <c r="AB55" s="8"/>
      <c r="AC55" s="9"/>
      <c r="AD55" s="9"/>
      <c r="AE55" s="9"/>
      <c r="AF55" s="9"/>
      <c r="AG55" s="9"/>
      <c r="AH55" s="105"/>
      <c r="AI55" s="105"/>
      <c r="AJ55" s="105"/>
      <c r="AK55" s="105"/>
    </row>
    <row r="56" spans="1:37" ht="15.75">
      <c r="A56" s="189" t="s">
        <v>73</v>
      </c>
      <c r="B56" s="190"/>
      <c r="C56" s="191">
        <f>IF(B56&lt;&gt;"",B56,$D$209)</f>
        <v>375</v>
      </c>
      <c r="D56" s="192"/>
      <c r="E56" s="193">
        <f>C123</f>
        <v>103</v>
      </c>
      <c r="F56" s="193">
        <f>B47/C56*100</f>
        <v>0</v>
      </c>
      <c r="G56" s="194">
        <f t="shared" si="2"/>
        <v>0</v>
      </c>
      <c r="I56" s="102"/>
      <c r="J56" s="102"/>
      <c r="K56" s="8"/>
      <c r="L56" s="110" t="s">
        <v>224</v>
      </c>
      <c r="M56" s="187"/>
      <c r="N56" s="143"/>
      <c r="O56" s="74"/>
      <c r="P56" s="180"/>
      <c r="Q56" s="180"/>
      <c r="R56" s="188"/>
      <c r="S56" s="8"/>
      <c r="T56" s="8"/>
      <c r="U56" s="8"/>
      <c r="V56" s="8"/>
      <c r="W56" s="8"/>
      <c r="X56" s="8"/>
      <c r="Y56" s="8"/>
      <c r="Z56" s="8"/>
      <c r="AA56" s="8"/>
      <c r="AB56" s="8"/>
      <c r="AC56" s="9"/>
      <c r="AD56" s="9"/>
      <c r="AE56" s="9"/>
      <c r="AF56" s="9"/>
      <c r="AG56" s="9"/>
      <c r="AH56" s="105"/>
      <c r="AI56" s="105"/>
      <c r="AJ56" s="105"/>
      <c r="AK56" s="105"/>
    </row>
    <row r="57" spans="1:37" ht="15.75">
      <c r="A57" s="189" t="s">
        <v>223</v>
      </c>
      <c r="B57" s="190"/>
      <c r="C57" s="191">
        <f>IF(B57&lt;&gt;"",B57,$D$209)</f>
        <v>375</v>
      </c>
      <c r="D57" s="192"/>
      <c r="E57" s="193">
        <f>C128</f>
        <v>22</v>
      </c>
      <c r="F57" s="193">
        <f>B47/C56*100</f>
        <v>0</v>
      </c>
      <c r="G57" s="194">
        <f t="shared" si="2"/>
        <v>0</v>
      </c>
      <c r="I57" s="102"/>
      <c r="J57" s="102"/>
      <c r="K57" s="8"/>
      <c r="L57" s="110" t="s">
        <v>225</v>
      </c>
      <c r="M57" s="187"/>
      <c r="N57" s="143"/>
      <c r="O57" s="74"/>
      <c r="P57" s="180"/>
      <c r="Q57" s="180"/>
      <c r="R57" s="188"/>
      <c r="S57" s="8"/>
      <c r="T57" s="8"/>
      <c r="U57" s="8"/>
      <c r="V57" s="8"/>
      <c r="W57" s="8"/>
      <c r="X57" s="8"/>
      <c r="Y57" s="8"/>
      <c r="Z57" s="8"/>
      <c r="AA57" s="8"/>
      <c r="AB57" s="8"/>
      <c r="AC57" s="9"/>
      <c r="AD57" s="9"/>
      <c r="AE57" s="9"/>
      <c r="AF57" s="9"/>
      <c r="AG57" s="9"/>
      <c r="AH57" s="105"/>
      <c r="AI57" s="105"/>
      <c r="AJ57" s="105"/>
      <c r="AK57" s="105"/>
    </row>
    <row r="58" spans="1:37" ht="15.75">
      <c r="A58" s="189" t="s">
        <v>74</v>
      </c>
      <c r="B58" s="190"/>
      <c r="C58" s="191">
        <f>IF(B58&lt;&gt;"",B58,$D$209)</f>
        <v>375</v>
      </c>
      <c r="D58" s="192">
        <f>MIN(D214,G214)</f>
        <v>0.28703703703703709</v>
      </c>
      <c r="E58" s="193">
        <f>D58*C123</f>
        <v>29.56481481481482</v>
      </c>
      <c r="F58" s="193">
        <f>B47/C58*100</f>
        <v>0</v>
      </c>
      <c r="G58" s="194">
        <f t="shared" si="2"/>
        <v>0</v>
      </c>
      <c r="I58" s="102"/>
      <c r="J58" s="102"/>
      <c r="K58" s="8"/>
      <c r="L58" s="110" t="s">
        <v>222</v>
      </c>
      <c r="M58" s="187"/>
      <c r="N58" s="143"/>
      <c r="O58" s="74"/>
      <c r="P58" s="180"/>
      <c r="Q58" s="180"/>
      <c r="R58" s="188"/>
      <c r="S58" s="8"/>
      <c r="T58" s="8"/>
      <c r="U58" s="8"/>
      <c r="V58" s="8"/>
      <c r="W58" s="8"/>
      <c r="X58" s="8"/>
      <c r="Y58" s="8"/>
      <c r="Z58" s="8"/>
      <c r="AA58" s="8"/>
      <c r="AB58" s="8"/>
      <c r="AC58" s="9"/>
      <c r="AD58" s="9"/>
      <c r="AE58" s="9"/>
      <c r="AF58" s="9"/>
      <c r="AG58" s="9"/>
      <c r="AH58" s="105"/>
      <c r="AI58" s="105"/>
      <c r="AJ58" s="105"/>
      <c r="AK58" s="105"/>
    </row>
    <row r="59" spans="1:37" ht="15.75">
      <c r="A59" s="189" t="s">
        <v>75</v>
      </c>
      <c r="B59" s="190"/>
      <c r="C59" s="191">
        <f>IF(B59&lt;&gt;"",B59,$D$209)</f>
        <v>375</v>
      </c>
      <c r="D59" s="195"/>
      <c r="E59" s="193">
        <f>C126</f>
        <v>13</v>
      </c>
      <c r="F59" s="193">
        <f>B50/C59*100*1.5</f>
        <v>3.7496249999999995</v>
      </c>
      <c r="G59" s="194">
        <f t="shared" si="2"/>
        <v>0.28843269230769225</v>
      </c>
      <c r="I59" s="102"/>
      <c r="J59" s="102"/>
      <c r="K59" s="8"/>
      <c r="L59" s="110" t="s">
        <v>221</v>
      </c>
      <c r="M59" s="187"/>
      <c r="N59" s="143"/>
      <c r="O59" s="101"/>
      <c r="P59" s="180"/>
      <c r="Q59" s="180"/>
      <c r="R59" s="188"/>
      <c r="S59" s="8"/>
      <c r="T59" s="8"/>
      <c r="U59" s="8"/>
      <c r="V59" s="8"/>
      <c r="W59" s="8"/>
      <c r="X59" s="8"/>
      <c r="Y59" s="8"/>
      <c r="Z59" s="8"/>
      <c r="AA59" s="8"/>
      <c r="AB59" s="8"/>
      <c r="AC59" s="9"/>
      <c r="AD59" s="9"/>
      <c r="AE59" s="9"/>
      <c r="AF59" s="9"/>
      <c r="AG59" s="9"/>
      <c r="AH59" s="105"/>
      <c r="AI59" s="105"/>
      <c r="AJ59" s="105"/>
      <c r="AK59" s="105"/>
    </row>
    <row r="60" spans="1:37" ht="15.75">
      <c r="A60" s="189" t="s">
        <v>76</v>
      </c>
      <c r="B60" s="189"/>
      <c r="C60" s="195"/>
      <c r="D60" s="192">
        <f>D150</f>
        <v>0.8666666666666667</v>
      </c>
      <c r="E60" s="193">
        <f>D60*C125</f>
        <v>94.466666666666654</v>
      </c>
      <c r="F60" s="193">
        <f>B48*10^4/(D208/(D204/2))</f>
        <v>67.493250000000003</v>
      </c>
      <c r="G60" s="194">
        <f t="shared" si="2"/>
        <v>0.71446630204657735</v>
      </c>
      <c r="I60" s="102"/>
      <c r="J60" s="102"/>
      <c r="K60" s="8"/>
      <c r="L60" s="187"/>
      <c r="M60" s="187"/>
      <c r="N60" s="187"/>
      <c r="O60" s="74"/>
      <c r="P60" s="180"/>
      <c r="Q60" s="180"/>
      <c r="R60" s="188"/>
      <c r="S60" s="8"/>
      <c r="T60" s="8"/>
      <c r="U60" s="8"/>
      <c r="V60" s="8"/>
      <c r="W60" s="8"/>
      <c r="X60" s="8"/>
      <c r="Y60" s="8"/>
      <c r="Z60" s="8"/>
      <c r="AA60" s="8"/>
      <c r="AB60" s="8"/>
      <c r="AC60" s="9"/>
      <c r="AD60" s="9"/>
      <c r="AE60" s="9"/>
      <c r="AF60" s="9"/>
      <c r="AG60" s="9"/>
      <c r="AH60" s="105"/>
      <c r="AI60" s="105"/>
      <c r="AJ60" s="105"/>
      <c r="AK60" s="105"/>
    </row>
    <row r="61" spans="1:37" ht="15.75">
      <c r="A61" s="189" t="s">
        <v>77</v>
      </c>
      <c r="B61" s="189"/>
      <c r="C61" s="195"/>
      <c r="D61" s="192">
        <f>D60</f>
        <v>0.8666666666666667</v>
      </c>
      <c r="E61" s="193">
        <f>D61*C125</f>
        <v>94.466666666666654</v>
      </c>
      <c r="F61" s="193">
        <f>B49*10^4/(G208/(G204/2))</f>
        <v>0</v>
      </c>
      <c r="G61" s="194">
        <f t="shared" si="2"/>
        <v>0</v>
      </c>
      <c r="I61" s="102"/>
      <c r="J61" s="102"/>
      <c r="K61" s="8"/>
      <c r="L61" s="187"/>
      <c r="M61" s="187"/>
      <c r="N61" s="187"/>
      <c r="O61" s="74"/>
      <c r="P61" s="180"/>
      <c r="Q61" s="180"/>
      <c r="R61" s="188"/>
      <c r="S61" s="8"/>
      <c r="T61" s="8"/>
      <c r="U61" s="8"/>
      <c r="V61" s="8"/>
      <c r="W61" s="8"/>
      <c r="X61" s="8"/>
      <c r="Y61" s="8"/>
      <c r="Z61" s="8"/>
      <c r="AA61" s="8"/>
      <c r="AB61" s="8"/>
      <c r="AC61" s="9"/>
      <c r="AD61" s="9"/>
      <c r="AE61" s="9"/>
      <c r="AF61" s="9"/>
      <c r="AG61" s="9"/>
      <c r="AH61" s="105"/>
      <c r="AI61" s="105"/>
      <c r="AJ61" s="105"/>
      <c r="AK61" s="105"/>
    </row>
    <row r="62" spans="1:37" ht="15.75">
      <c r="A62" s="189" t="s">
        <v>78</v>
      </c>
      <c r="B62" s="189"/>
      <c r="C62" s="195"/>
      <c r="D62" s="195"/>
      <c r="E62" s="195"/>
      <c r="F62" s="195"/>
      <c r="G62" s="194">
        <f>MAX(G55:G58)+G60+G61</f>
        <v>0.71446630204657735</v>
      </c>
      <c r="I62" s="102"/>
      <c r="J62" s="102"/>
      <c r="K62" s="8"/>
      <c r="L62" s="187"/>
      <c r="M62" s="187"/>
      <c r="N62" s="187"/>
      <c r="O62" s="101"/>
      <c r="P62" s="101"/>
      <c r="Q62" s="101"/>
      <c r="R62" s="188"/>
      <c r="S62" s="8"/>
      <c r="T62" s="8"/>
      <c r="U62" s="8"/>
      <c r="V62" s="8"/>
      <c r="W62" s="8"/>
      <c r="X62" s="8"/>
      <c r="Y62" s="8"/>
      <c r="Z62" s="8"/>
      <c r="AA62" s="8"/>
      <c r="AB62" s="8"/>
      <c r="AC62" s="9"/>
      <c r="AD62" s="9"/>
      <c r="AE62" s="9"/>
      <c r="AF62" s="9"/>
      <c r="AG62" s="9"/>
      <c r="AH62" s="105"/>
      <c r="AI62" s="105"/>
      <c r="AJ62" s="105"/>
      <c r="AK62" s="105"/>
    </row>
    <row r="63" spans="1:37" ht="15.75">
      <c r="A63" s="196" t="s">
        <v>79</v>
      </c>
      <c r="B63" s="196"/>
      <c r="C63" s="197"/>
      <c r="D63" s="197"/>
      <c r="E63" s="197"/>
      <c r="F63" s="197"/>
      <c r="G63" s="198" t="str">
        <f>IF(OR(AND(D204/G204&gt;5,D211&gt;37.5),AND(G204/D204&gt;5,G211&gt;37.5)),"RISQUE DEVERSEMENT","OK")</f>
        <v>OK</v>
      </c>
      <c r="I63" s="102"/>
      <c r="J63" s="102"/>
      <c r="K63" s="8"/>
      <c r="L63" s="110" t="s">
        <v>219</v>
      </c>
      <c r="M63" s="187"/>
      <c r="N63" s="187"/>
      <c r="O63" s="101"/>
      <c r="P63" s="101"/>
      <c r="Q63" s="101"/>
      <c r="R63" s="199"/>
      <c r="S63" s="8"/>
      <c r="T63" s="8"/>
      <c r="U63" s="8"/>
      <c r="V63" s="8"/>
      <c r="W63" s="8"/>
      <c r="X63" s="8"/>
      <c r="Y63" s="8"/>
      <c r="Z63" s="8"/>
      <c r="AA63" s="8"/>
      <c r="AB63" s="8"/>
      <c r="AC63" s="9"/>
      <c r="AD63" s="9"/>
      <c r="AE63" s="9"/>
      <c r="AF63" s="9"/>
      <c r="AG63" s="9"/>
      <c r="AH63" s="105"/>
      <c r="AI63" s="105"/>
      <c r="AJ63" s="105"/>
      <c r="AK63" s="105"/>
    </row>
    <row r="64" spans="1:37" ht="15.75">
      <c r="A64" s="195"/>
      <c r="B64" s="195"/>
      <c r="C64" s="195"/>
      <c r="D64" s="195"/>
      <c r="E64" s="195"/>
      <c r="F64" s="195"/>
      <c r="G64" s="200"/>
      <c r="I64" s="102"/>
      <c r="J64" s="102"/>
      <c r="K64" s="8"/>
      <c r="L64" s="187"/>
      <c r="M64" s="187"/>
      <c r="N64" s="187"/>
      <c r="O64" s="101"/>
      <c r="P64" s="101"/>
      <c r="Q64" s="101"/>
      <c r="R64" s="199"/>
      <c r="S64" s="8"/>
      <c r="T64" s="8"/>
      <c r="U64" s="8"/>
      <c r="V64" s="8"/>
      <c r="W64" s="8"/>
      <c r="X64" s="8"/>
      <c r="Y64" s="8"/>
      <c r="Z64" s="8"/>
      <c r="AA64" s="8"/>
      <c r="AB64" s="8"/>
      <c r="AC64" s="9"/>
      <c r="AD64" s="9"/>
      <c r="AE64" s="9"/>
      <c r="AF64" s="9"/>
      <c r="AG64" s="9"/>
      <c r="AH64" s="105"/>
      <c r="AI64" s="105"/>
      <c r="AJ64" s="105"/>
      <c r="AK64" s="105"/>
    </row>
    <row r="65" spans="1:37" ht="16.5" thickBot="1">
      <c r="A65" s="101"/>
      <c r="C65" s="165" t="str">
        <f>IF(G65&lt;1,"OK","FAUX")</f>
        <v>OK</v>
      </c>
      <c r="D65" s="165"/>
      <c r="E65" s="201"/>
      <c r="F65" s="202" t="s">
        <v>80</v>
      </c>
      <c r="G65" s="203">
        <f>IF(G63&lt;&gt;"OK",G63,MAX(G55:G62))</f>
        <v>0.71446630204657735</v>
      </c>
      <c r="I65" s="102"/>
      <c r="J65" s="102"/>
      <c r="K65" s="8"/>
      <c r="L65" s="110" t="s">
        <v>212</v>
      </c>
      <c r="M65" s="110"/>
      <c r="N65" s="168"/>
      <c r="O65" s="83"/>
      <c r="P65" s="77"/>
      <c r="Q65" s="204"/>
      <c r="R65" s="80"/>
      <c r="S65" s="8"/>
      <c r="T65" s="8"/>
      <c r="U65" s="8"/>
      <c r="V65" s="8"/>
      <c r="W65" s="8"/>
      <c r="X65" s="8"/>
      <c r="Y65" s="8"/>
      <c r="Z65" s="8"/>
      <c r="AA65" s="8"/>
      <c r="AB65" s="8"/>
      <c r="AC65" s="9"/>
      <c r="AD65" s="9"/>
      <c r="AE65" s="9"/>
      <c r="AF65" s="9"/>
      <c r="AG65" s="9"/>
      <c r="AH65" s="105"/>
      <c r="AI65" s="105"/>
      <c r="AJ65" s="105"/>
      <c r="AK65" s="105"/>
    </row>
    <row r="66" spans="1:37">
      <c r="B66" s="74"/>
      <c r="C66" s="160"/>
      <c r="D66" s="107"/>
      <c r="E66" s="108"/>
      <c r="I66" s="102"/>
      <c r="J66" s="102"/>
      <c r="K66" s="8"/>
      <c r="L66" s="110"/>
      <c r="M66" s="150"/>
      <c r="N66" s="161"/>
      <c r="O66" s="76"/>
      <c r="P66" s="77"/>
      <c r="Q66" s="8"/>
      <c r="R66" s="8"/>
      <c r="S66" s="8"/>
      <c r="T66" s="8"/>
      <c r="U66" s="8"/>
      <c r="V66" s="8"/>
      <c r="W66" s="8"/>
      <c r="X66" s="8"/>
      <c r="Y66" s="8"/>
      <c r="Z66" s="8"/>
      <c r="AA66" s="8"/>
      <c r="AB66" s="8"/>
      <c r="AC66" s="9"/>
      <c r="AD66" s="9"/>
      <c r="AE66" s="9"/>
      <c r="AF66" s="9"/>
      <c r="AG66" s="9"/>
      <c r="AH66" s="105"/>
      <c r="AI66" s="105"/>
      <c r="AJ66" s="105"/>
      <c r="AK66" s="105"/>
    </row>
    <row r="67" spans="1:37">
      <c r="A67" s="102"/>
      <c r="B67" s="205"/>
      <c r="C67" s="206"/>
      <c r="D67" s="103"/>
      <c r="E67" s="104"/>
      <c r="F67" s="102"/>
      <c r="G67" s="102"/>
      <c r="H67" s="102"/>
      <c r="I67" s="102"/>
      <c r="J67" s="102"/>
      <c r="K67" s="8"/>
      <c r="L67" s="8"/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9"/>
      <c r="AD67" s="9"/>
      <c r="AE67" s="9"/>
      <c r="AF67" s="9"/>
      <c r="AG67" s="9"/>
      <c r="AH67" s="105"/>
      <c r="AI67" s="105"/>
      <c r="AJ67" s="105"/>
      <c r="AK67" s="105"/>
    </row>
    <row r="68" spans="1:37">
      <c r="B68" s="74"/>
      <c r="C68" s="160"/>
      <c r="D68" s="107"/>
      <c r="E68" s="10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9"/>
      <c r="AD68" s="9"/>
      <c r="AE68" s="9"/>
      <c r="AF68" s="9"/>
      <c r="AG68" s="9"/>
      <c r="AH68" s="105"/>
      <c r="AI68" s="105"/>
      <c r="AJ68" s="105"/>
      <c r="AK68" s="105"/>
    </row>
    <row r="69" spans="1:37">
      <c r="A69" s="111" t="s">
        <v>81</v>
      </c>
      <c r="B69" s="74"/>
      <c r="C69" s="160"/>
      <c r="D69" s="107"/>
      <c r="E69" s="10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9"/>
      <c r="AD69" s="9"/>
      <c r="AE69" s="9"/>
      <c r="AF69" s="9"/>
      <c r="AG69" s="9"/>
      <c r="AH69" s="105"/>
      <c r="AI69" s="105"/>
      <c r="AJ69" s="105"/>
      <c r="AK69" s="105"/>
    </row>
    <row r="70" spans="1:37">
      <c r="A70" s="7" t="s">
        <v>3</v>
      </c>
      <c r="B70" s="207">
        <f>B6*100</f>
        <v>25</v>
      </c>
      <c r="C70" s="160" t="s">
        <v>82</v>
      </c>
      <c r="D70" s="107"/>
      <c r="E70" s="10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9"/>
      <c r="AD70" s="9"/>
      <c r="AE70" s="9"/>
      <c r="AF70" s="9"/>
      <c r="AG70" s="9"/>
      <c r="AH70" s="105"/>
      <c r="AI70" s="105"/>
      <c r="AJ70" s="105"/>
      <c r="AK70" s="105"/>
    </row>
    <row r="71" spans="1:37">
      <c r="A71" s="7" t="s">
        <v>7</v>
      </c>
      <c r="B71" s="207">
        <f>B7*100</f>
        <v>15</v>
      </c>
      <c r="C71" s="160" t="s">
        <v>82</v>
      </c>
      <c r="D71" s="107"/>
      <c r="E71" s="108"/>
      <c r="K71" s="8"/>
      <c r="L71" s="8"/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9"/>
      <c r="AD71" s="9"/>
      <c r="AE71" s="9"/>
      <c r="AF71" s="9"/>
      <c r="AG71" s="9"/>
      <c r="AH71" s="105"/>
      <c r="AI71" s="105"/>
      <c r="AJ71" s="105"/>
      <c r="AK71" s="105"/>
    </row>
    <row r="72" spans="1:37">
      <c r="A72" s="7" t="s">
        <v>83</v>
      </c>
      <c r="B72" s="208">
        <v>15</v>
      </c>
      <c r="C72" s="160" t="s">
        <v>82</v>
      </c>
      <c r="D72" s="107"/>
      <c r="E72" s="10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9"/>
      <c r="AD72" s="9"/>
      <c r="AE72" s="9"/>
      <c r="AF72" s="9"/>
      <c r="AG72" s="9"/>
      <c r="AH72" s="105"/>
      <c r="AI72" s="105"/>
      <c r="AJ72" s="105"/>
      <c r="AK72" s="105"/>
    </row>
    <row r="73" spans="1:37">
      <c r="A73" s="7" t="s">
        <v>84</v>
      </c>
      <c r="B73" s="208">
        <v>2.5</v>
      </c>
      <c r="C73" s="160" t="s">
        <v>82</v>
      </c>
      <c r="D73" s="107"/>
      <c r="E73" s="108"/>
      <c r="G73" s="209"/>
      <c r="K73" s="8"/>
      <c r="L73" s="8"/>
      <c r="M73" s="8"/>
      <c r="N73" s="8"/>
      <c r="O73" s="8"/>
      <c r="P73" s="8"/>
      <c r="Q73" s="8"/>
      <c r="R73" s="8"/>
      <c r="S73" s="8"/>
      <c r="T73" s="8"/>
      <c r="U73" s="8"/>
      <c r="V73" s="8"/>
      <c r="W73" s="8"/>
      <c r="X73" s="8"/>
      <c r="Y73" s="8"/>
      <c r="Z73" s="8"/>
      <c r="AA73" s="8"/>
      <c r="AB73" s="8"/>
      <c r="AC73" s="9"/>
      <c r="AD73" s="9"/>
      <c r="AE73" s="9"/>
      <c r="AF73" s="9"/>
      <c r="AG73" s="9"/>
      <c r="AH73" s="105"/>
      <c r="AI73" s="105"/>
      <c r="AJ73" s="105"/>
      <c r="AK73" s="105"/>
    </row>
    <row r="74" spans="1:37">
      <c r="B74" s="74"/>
      <c r="C74" s="160"/>
      <c r="D74" s="107"/>
      <c r="E74" s="108"/>
      <c r="G74" s="210"/>
      <c r="K74" s="8"/>
      <c r="L74" s="8"/>
      <c r="M74" s="8"/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9"/>
      <c r="AD74" s="9"/>
      <c r="AE74" s="9"/>
      <c r="AF74" s="9"/>
      <c r="AG74" s="9"/>
      <c r="AH74" s="105"/>
      <c r="AI74" s="105"/>
      <c r="AJ74" s="105"/>
      <c r="AK74" s="105"/>
    </row>
    <row r="75" spans="1:37">
      <c r="A75" s="7" t="s">
        <v>85</v>
      </c>
      <c r="B75" s="74">
        <f>B71</f>
        <v>15</v>
      </c>
      <c r="C75" s="160" t="s">
        <v>82</v>
      </c>
      <c r="D75" s="107"/>
      <c r="E75" s="108"/>
      <c r="G75" s="210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9"/>
      <c r="AD75" s="9"/>
      <c r="AE75" s="9"/>
      <c r="AF75" s="9"/>
      <c r="AG75" s="9"/>
      <c r="AH75" s="105"/>
      <c r="AI75" s="105"/>
      <c r="AJ75" s="105"/>
      <c r="AK75" s="105"/>
    </row>
    <row r="76" spans="1:37">
      <c r="A76" s="7" t="s">
        <v>86</v>
      </c>
      <c r="B76" s="74">
        <f>B71-2*B73</f>
        <v>10</v>
      </c>
      <c r="C76" s="160" t="s">
        <v>82</v>
      </c>
      <c r="D76" s="107"/>
      <c r="E76" s="108"/>
      <c r="G76" s="210"/>
      <c r="K76" s="8"/>
      <c r="L76" s="8"/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9"/>
      <c r="AD76" s="9"/>
      <c r="AE76" s="9"/>
      <c r="AF76" s="9"/>
      <c r="AG76" s="9"/>
      <c r="AH76" s="105"/>
      <c r="AI76" s="105"/>
      <c r="AJ76" s="105"/>
      <c r="AK76" s="105"/>
    </row>
    <row r="77" spans="1:37">
      <c r="A77" s="7" t="s">
        <v>87</v>
      </c>
      <c r="B77" s="74">
        <f>B70-B72</f>
        <v>10</v>
      </c>
      <c r="C77" s="160" t="s">
        <v>82</v>
      </c>
      <c r="D77" s="107"/>
      <c r="E77" s="108"/>
      <c r="F77" s="123"/>
      <c r="G77" s="29"/>
      <c r="H77" s="119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9"/>
      <c r="AD77" s="9"/>
      <c r="AE77" s="9"/>
      <c r="AF77" s="9"/>
      <c r="AG77" s="9"/>
      <c r="AH77" s="105"/>
      <c r="AI77" s="105"/>
      <c r="AJ77" s="105"/>
      <c r="AK77" s="105"/>
    </row>
    <row r="78" spans="1:37">
      <c r="A78" s="7" t="s">
        <v>88</v>
      </c>
      <c r="B78" s="74">
        <f>B70</f>
        <v>25</v>
      </c>
      <c r="C78" s="160" t="s">
        <v>82</v>
      </c>
      <c r="D78" s="107"/>
      <c r="E78" s="108"/>
      <c r="F78" s="127"/>
      <c r="G78" s="29"/>
      <c r="H78" s="159"/>
      <c r="K78" s="8"/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9"/>
      <c r="AD78" s="9"/>
      <c r="AE78" s="9"/>
      <c r="AF78" s="9"/>
      <c r="AG78" s="9"/>
      <c r="AH78" s="105"/>
      <c r="AI78" s="105"/>
      <c r="AJ78" s="105"/>
      <c r="AK78" s="105"/>
    </row>
    <row r="79" spans="1:37">
      <c r="B79" s="74"/>
      <c r="C79" s="160"/>
      <c r="D79" s="107"/>
      <c r="E79" s="108"/>
      <c r="F79" s="127"/>
      <c r="G79" s="29"/>
      <c r="H79" s="159"/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9"/>
      <c r="AD79" s="9"/>
      <c r="AE79" s="9"/>
      <c r="AF79" s="9"/>
      <c r="AG79" s="9"/>
      <c r="AH79" s="105"/>
      <c r="AI79" s="105"/>
      <c r="AJ79" s="105"/>
      <c r="AK79" s="105"/>
    </row>
    <row r="80" spans="1:37">
      <c r="A80" s="211" t="s">
        <v>89</v>
      </c>
      <c r="B80" s="74">
        <f>(B75-B76)*B77+B76*B78</f>
        <v>300</v>
      </c>
      <c r="C80" s="160" t="s">
        <v>90</v>
      </c>
      <c r="D80" s="107"/>
      <c r="E80" s="108"/>
      <c r="F80" s="136"/>
      <c r="G80" s="163"/>
      <c r="H80" s="164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9"/>
      <c r="AD80" s="9"/>
      <c r="AE80" s="9"/>
      <c r="AF80" s="9"/>
      <c r="AG80" s="9"/>
      <c r="AH80" s="105"/>
      <c r="AI80" s="105"/>
      <c r="AJ80" s="105"/>
      <c r="AK80" s="105"/>
    </row>
    <row r="81" spans="1:37">
      <c r="B81" s="74"/>
      <c r="C81" s="160"/>
      <c r="D81" s="107"/>
      <c r="E81" s="10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9"/>
      <c r="AD81" s="9"/>
      <c r="AE81" s="9"/>
      <c r="AF81" s="9"/>
      <c r="AG81" s="9"/>
      <c r="AH81" s="105"/>
      <c r="AI81" s="105"/>
      <c r="AJ81" s="105"/>
      <c r="AK81" s="105"/>
    </row>
    <row r="82" spans="1:37">
      <c r="A82" s="7" t="s">
        <v>91</v>
      </c>
      <c r="B82" s="74">
        <f>1/2*((B75-B76)*B77^2+B76*B78^2)</f>
        <v>3375</v>
      </c>
      <c r="C82" s="160"/>
      <c r="D82" s="107"/>
      <c r="E82" s="10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9"/>
      <c r="AD82" s="9"/>
      <c r="AE82" s="9"/>
      <c r="AF82" s="9"/>
      <c r="AG82" s="9"/>
      <c r="AH82" s="105"/>
      <c r="AI82" s="105"/>
      <c r="AJ82" s="105"/>
      <c r="AK82" s="105"/>
    </row>
    <row r="83" spans="1:37">
      <c r="A83" s="7" t="s">
        <v>92</v>
      </c>
      <c r="B83" s="74">
        <f>B82/B80</f>
        <v>11.25</v>
      </c>
      <c r="C83" s="160"/>
      <c r="D83" s="107"/>
      <c r="E83" s="10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9"/>
      <c r="AD83" s="9"/>
      <c r="AE83" s="9"/>
      <c r="AF83" s="9"/>
      <c r="AG83" s="9"/>
      <c r="AH83" s="105"/>
      <c r="AI83" s="105"/>
      <c r="AJ83" s="105"/>
      <c r="AK83" s="105"/>
    </row>
    <row r="84" spans="1:37">
      <c r="A84" s="7" t="s">
        <v>93</v>
      </c>
      <c r="B84" s="74">
        <f>B78-B83</f>
        <v>13.75</v>
      </c>
      <c r="C84" s="160"/>
      <c r="D84" s="107"/>
      <c r="E84" s="10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9"/>
      <c r="AD84" s="9"/>
      <c r="AE84" s="9"/>
      <c r="AF84" s="9"/>
      <c r="AG84" s="9"/>
      <c r="AH84" s="105"/>
      <c r="AI84" s="105"/>
      <c r="AJ84" s="105"/>
      <c r="AK84" s="105"/>
    </row>
    <row r="85" spans="1:37">
      <c r="B85" s="74"/>
      <c r="C85" s="160"/>
      <c r="D85" s="107"/>
      <c r="E85" s="10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9"/>
      <c r="AD85" s="9"/>
      <c r="AE85" s="9"/>
      <c r="AF85" s="9"/>
      <c r="AG85" s="9"/>
      <c r="AH85" s="105"/>
      <c r="AI85" s="105"/>
      <c r="AJ85" s="105"/>
      <c r="AK85" s="105"/>
    </row>
    <row r="86" spans="1:37">
      <c r="A86" s="7" t="s">
        <v>94</v>
      </c>
      <c r="B86" s="79">
        <f>1/3*((B75-B76)*B77^3+B76*B78^3)</f>
        <v>53750</v>
      </c>
      <c r="C86" s="160" t="s">
        <v>95</v>
      </c>
      <c r="D86" s="107"/>
      <c r="E86" s="10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9"/>
      <c r="AD86" s="9"/>
      <c r="AE86" s="9"/>
      <c r="AF86" s="9"/>
      <c r="AG86" s="9"/>
      <c r="AH86" s="105"/>
      <c r="AI86" s="105"/>
      <c r="AJ86" s="105"/>
      <c r="AK86" s="105"/>
    </row>
    <row r="87" spans="1:37">
      <c r="A87" s="7" t="s">
        <v>96</v>
      </c>
      <c r="B87" s="79">
        <f>B86-B82*B83</f>
        <v>15781.25</v>
      </c>
      <c r="C87" s="160" t="s">
        <v>95</v>
      </c>
      <c r="D87" s="107"/>
      <c r="E87" s="108"/>
      <c r="K87" s="8"/>
      <c r="L87" s="8"/>
      <c r="M87" s="8"/>
      <c r="N87" s="8"/>
      <c r="O87" s="8"/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9"/>
      <c r="AD87" s="9"/>
      <c r="AE87" s="9"/>
      <c r="AF87" s="9"/>
      <c r="AG87" s="9"/>
      <c r="AH87" s="105"/>
      <c r="AI87" s="105"/>
      <c r="AJ87" s="105"/>
      <c r="AK87" s="105"/>
    </row>
    <row r="88" spans="1:37" ht="13.5" thickBot="1">
      <c r="B88" s="79"/>
      <c r="C88" s="160"/>
      <c r="D88" s="107"/>
      <c r="E88" s="108"/>
      <c r="K88" s="8"/>
      <c r="L88" s="8"/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9"/>
      <c r="AD88" s="9"/>
      <c r="AE88" s="9"/>
      <c r="AF88" s="9"/>
      <c r="AG88" s="9"/>
      <c r="AH88" s="105"/>
      <c r="AI88" s="105"/>
      <c r="AJ88" s="105"/>
      <c r="AK88" s="105"/>
    </row>
    <row r="89" spans="1:37" ht="16.5" thickBot="1">
      <c r="A89" s="211" t="s">
        <v>97</v>
      </c>
      <c r="B89" s="160">
        <f>B48/(B87*10^-8/(B84*10^-2))/100</f>
        <v>91.88437500000002</v>
      </c>
      <c r="C89" s="7" t="s">
        <v>98</v>
      </c>
      <c r="E89" s="107">
        <f>E60</f>
        <v>94.466666666666654</v>
      </c>
      <c r="F89" s="29"/>
      <c r="G89" s="212">
        <f>B89/E89</f>
        <v>0.97266452011291493</v>
      </c>
      <c r="K89" s="8"/>
      <c r="L89" s="8"/>
      <c r="M89" s="8"/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9"/>
      <c r="AD89" s="9"/>
      <c r="AE89" s="9"/>
      <c r="AF89" s="9"/>
      <c r="AG89" s="9"/>
      <c r="AH89" s="105"/>
      <c r="AI89" s="105"/>
      <c r="AJ89" s="105"/>
      <c r="AK89" s="105"/>
    </row>
    <row r="90" spans="1:37">
      <c r="A90" s="211" t="s">
        <v>97</v>
      </c>
      <c r="B90" s="160">
        <f>B48/(B87*10^-8/(B83*10^-2))/100</f>
        <v>75.178124999999994</v>
      </c>
      <c r="C90" s="160" t="s">
        <v>98</v>
      </c>
      <c r="F90" s="213"/>
      <c r="G90" s="29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9"/>
      <c r="AD90" s="9"/>
      <c r="AE90" s="9"/>
      <c r="AF90" s="9"/>
      <c r="AG90" s="9"/>
      <c r="AH90" s="105"/>
      <c r="AI90" s="105"/>
      <c r="AJ90" s="105"/>
      <c r="AK90" s="105"/>
    </row>
    <row r="91" spans="1:37" ht="16.5" thickBot="1">
      <c r="A91" s="7" t="s">
        <v>99</v>
      </c>
      <c r="B91" s="214">
        <f>(C38*(5*C24*B9^4/(384*C40*B87))+(5*C25*B9^4/(384*C40*B87)))*10^8</f>
        <v>1.2975749890529891</v>
      </c>
      <c r="C91" s="160" t="s">
        <v>82</v>
      </c>
      <c r="D91" s="165" t="str">
        <f>IF(B91&lt;B9*100/400,"OK","FAUX")</f>
        <v>FAUX</v>
      </c>
      <c r="E91" s="166" t="s">
        <v>53</v>
      </c>
      <c r="F91" s="167"/>
      <c r="G91" s="166" t="str">
        <f>CONCATENATE("1 / ",ROUNDUP(B9*100/B91,0)," éme")</f>
        <v>1 / 347 éme</v>
      </c>
      <c r="H91" s="165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9"/>
      <c r="AD91" s="9"/>
      <c r="AE91" s="9"/>
      <c r="AF91" s="9"/>
      <c r="AG91" s="9"/>
      <c r="AH91" s="105"/>
      <c r="AI91" s="105"/>
      <c r="AJ91" s="105"/>
      <c r="AK91" s="105"/>
    </row>
    <row r="92" spans="1:37"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9"/>
      <c r="AD92" s="9"/>
      <c r="AE92" s="9"/>
      <c r="AF92" s="9"/>
      <c r="AG92" s="9"/>
      <c r="AH92" s="105"/>
      <c r="AI92" s="105"/>
      <c r="AJ92" s="105"/>
      <c r="AK92" s="105"/>
    </row>
    <row r="93" spans="1:37">
      <c r="AC93" s="105"/>
      <c r="AD93" s="105"/>
      <c r="AE93" s="105"/>
      <c r="AF93" s="105"/>
      <c r="AG93" s="105"/>
      <c r="AH93" s="105"/>
      <c r="AI93" s="105"/>
      <c r="AJ93" s="105"/>
      <c r="AK93" s="105"/>
    </row>
    <row r="94" spans="1:37">
      <c r="AC94" s="105"/>
      <c r="AD94" s="105"/>
      <c r="AE94" s="105"/>
      <c r="AF94" s="105"/>
      <c r="AG94" s="105"/>
      <c r="AH94" s="105"/>
      <c r="AI94" s="105"/>
      <c r="AJ94" s="105"/>
      <c r="AK94" s="105"/>
    </row>
    <row r="95" spans="1:37">
      <c r="AC95" s="105"/>
      <c r="AD95" s="105"/>
      <c r="AE95" s="105"/>
      <c r="AF95" s="105"/>
      <c r="AG95" s="105"/>
      <c r="AH95" s="105"/>
      <c r="AI95" s="105"/>
      <c r="AJ95" s="105"/>
      <c r="AK95" s="105"/>
    </row>
    <row r="96" spans="1:37">
      <c r="AC96" s="105"/>
      <c r="AD96" s="105"/>
      <c r="AE96" s="105"/>
      <c r="AF96" s="105"/>
      <c r="AG96" s="105"/>
      <c r="AH96" s="105"/>
      <c r="AI96" s="105"/>
      <c r="AJ96" s="105"/>
      <c r="AK96" s="105"/>
    </row>
    <row r="97" spans="1:37">
      <c r="AC97" s="105"/>
      <c r="AD97" s="105"/>
      <c r="AE97" s="105"/>
      <c r="AF97" s="105"/>
      <c r="AG97" s="105"/>
      <c r="AH97" s="105"/>
      <c r="AI97" s="105"/>
      <c r="AJ97" s="105"/>
      <c r="AK97" s="105"/>
    </row>
    <row r="98" spans="1:37" ht="15.75">
      <c r="A98" s="215" t="str">
        <f>CONCATENATE("CB 71 / Contraintes admissibles forfaitaires pour une humidité de ",C122," %")</f>
        <v>CB 71 / Contraintes admissibles forfaitaires pour une humidité de 15 %</v>
      </c>
      <c r="AC98" s="105"/>
      <c r="AD98" s="105"/>
      <c r="AE98" s="105"/>
      <c r="AF98" s="105"/>
      <c r="AG98" s="105"/>
      <c r="AH98" s="105"/>
      <c r="AI98" s="105"/>
      <c r="AJ98" s="105"/>
      <c r="AK98" s="105"/>
    </row>
    <row r="99" spans="1:37">
      <c r="Q99" s="7" t="s">
        <v>100</v>
      </c>
      <c r="S99" s="7" t="s">
        <v>101</v>
      </c>
      <c r="AC99" s="105"/>
      <c r="AD99" s="105"/>
      <c r="AE99" s="105"/>
      <c r="AF99" s="105"/>
      <c r="AG99" s="105"/>
      <c r="AH99" s="105"/>
      <c r="AI99" s="105"/>
      <c r="AJ99" s="105"/>
      <c r="AK99" s="105"/>
    </row>
    <row r="100" spans="1:37" ht="15.75">
      <c r="E100" s="215"/>
      <c r="F100" s="216" t="s">
        <v>102</v>
      </c>
      <c r="G100" s="215"/>
      <c r="H100" s="215"/>
      <c r="Q100" s="7" t="s">
        <v>103</v>
      </c>
      <c r="AC100" s="105"/>
      <c r="AD100" s="105"/>
      <c r="AE100" s="105"/>
      <c r="AF100" s="105"/>
      <c r="AG100" s="105"/>
      <c r="AH100" s="105"/>
      <c r="AI100" s="105"/>
      <c r="AJ100" s="105"/>
      <c r="AK100" s="105"/>
    </row>
    <row r="101" spans="1:37" ht="15.75">
      <c r="E101" s="215"/>
      <c r="F101" s="216" t="s">
        <v>104</v>
      </c>
      <c r="G101" s="215"/>
      <c r="H101" s="215"/>
      <c r="AC101" s="105"/>
      <c r="AD101" s="105"/>
      <c r="AE101" s="105"/>
      <c r="AF101" s="105"/>
      <c r="AG101" s="105"/>
      <c r="AH101" s="105"/>
      <c r="AI101" s="105"/>
      <c r="AJ101" s="105"/>
      <c r="AK101" s="105"/>
    </row>
    <row r="102" spans="1:37">
      <c r="AC102" s="105"/>
      <c r="AD102" s="105"/>
      <c r="AE102" s="105"/>
      <c r="AF102" s="105"/>
      <c r="AG102" s="105"/>
      <c r="AH102" s="105"/>
      <c r="AI102" s="105"/>
      <c r="AJ102" s="105"/>
      <c r="AK102" s="105"/>
    </row>
    <row r="103" spans="1:37">
      <c r="A103" s="322" t="s">
        <v>105</v>
      </c>
      <c r="B103" s="324" t="s">
        <v>106</v>
      </c>
      <c r="C103" s="324"/>
      <c r="D103" s="326"/>
      <c r="E103" s="328" t="s">
        <v>107</v>
      </c>
      <c r="F103" s="328"/>
      <c r="G103" s="328"/>
      <c r="H103" s="328"/>
      <c r="I103" s="328"/>
      <c r="J103" s="329"/>
      <c r="AC103" s="105"/>
      <c r="AD103" s="105"/>
      <c r="AE103" s="105"/>
      <c r="AF103" s="105"/>
      <c r="AG103" s="105"/>
      <c r="AH103" s="105"/>
      <c r="AI103" s="105"/>
      <c r="AJ103" s="105"/>
      <c r="AK103" s="105"/>
    </row>
    <row r="104" spans="1:37">
      <c r="A104" s="323"/>
      <c r="B104" s="325"/>
      <c r="C104" s="325"/>
      <c r="D104" s="327"/>
      <c r="E104" s="322" t="s">
        <v>108</v>
      </c>
      <c r="F104" s="330"/>
      <c r="G104" s="322" t="s">
        <v>109</v>
      </c>
      <c r="H104" s="330"/>
      <c r="I104" s="322" t="s">
        <v>110</v>
      </c>
      <c r="J104" s="330"/>
      <c r="AC104" s="105"/>
      <c r="AD104" s="105"/>
      <c r="AE104" s="105"/>
      <c r="AF104" s="105"/>
      <c r="AG104" s="105"/>
      <c r="AH104" s="105"/>
      <c r="AI104" s="105"/>
      <c r="AJ104" s="105"/>
      <c r="AK104" s="105"/>
    </row>
    <row r="105" spans="1:37" ht="15.75">
      <c r="A105" s="217"/>
      <c r="B105" s="331" t="s">
        <v>111</v>
      </c>
      <c r="C105" s="331"/>
      <c r="D105" s="218"/>
      <c r="E105" s="332" t="s">
        <v>112</v>
      </c>
      <c r="F105" s="333"/>
      <c r="G105" s="332" t="s">
        <v>113</v>
      </c>
      <c r="H105" s="333"/>
      <c r="I105" s="332" t="s">
        <v>114</v>
      </c>
      <c r="J105" s="333"/>
      <c r="U105" s="216" t="s">
        <v>115</v>
      </c>
      <c r="AC105" s="105"/>
      <c r="AD105" s="105"/>
      <c r="AE105" s="105"/>
      <c r="AF105" s="216" t="s">
        <v>116</v>
      </c>
      <c r="AG105" s="105"/>
      <c r="AH105" s="105"/>
      <c r="AI105" s="105"/>
      <c r="AJ105" s="105"/>
      <c r="AK105" s="105"/>
    </row>
    <row r="106" spans="1:37" ht="15.75">
      <c r="A106" s="123"/>
      <c r="B106" s="118"/>
      <c r="C106" s="118"/>
      <c r="D106" s="209"/>
      <c r="E106" s="123"/>
      <c r="F106" s="119"/>
      <c r="G106" s="123"/>
      <c r="H106" s="119"/>
      <c r="I106" s="123"/>
      <c r="J106" s="119"/>
      <c r="U106" s="216" t="s">
        <v>117</v>
      </c>
      <c r="AC106" s="105"/>
      <c r="AD106" s="105"/>
      <c r="AE106" s="105"/>
      <c r="AF106" s="216" t="s">
        <v>118</v>
      </c>
      <c r="AG106" s="105"/>
      <c r="AH106" s="105"/>
      <c r="AI106" s="105"/>
      <c r="AJ106" s="105"/>
      <c r="AK106" s="105"/>
    </row>
    <row r="107" spans="1:37">
      <c r="A107" s="127"/>
      <c r="B107" s="52" t="s">
        <v>118</v>
      </c>
      <c r="C107" s="52" t="s">
        <v>117</v>
      </c>
      <c r="D107" s="210"/>
      <c r="E107" s="181" t="s">
        <v>118</v>
      </c>
      <c r="F107" s="182" t="s">
        <v>117</v>
      </c>
      <c r="G107" s="181" t="s">
        <v>118</v>
      </c>
      <c r="H107" s="182" t="s">
        <v>117</v>
      </c>
      <c r="I107" s="181" t="s">
        <v>118</v>
      </c>
      <c r="J107" s="182" t="s">
        <v>117</v>
      </c>
      <c r="AC107" s="105"/>
      <c r="AD107" s="105"/>
      <c r="AE107" s="105"/>
      <c r="AF107" s="105"/>
      <c r="AG107" s="105"/>
      <c r="AH107" s="105"/>
      <c r="AI107" s="105"/>
      <c r="AJ107" s="105"/>
      <c r="AK107" s="105"/>
    </row>
    <row r="108" spans="1:37">
      <c r="A108" s="127"/>
      <c r="B108" s="29"/>
      <c r="C108" s="29"/>
      <c r="D108" s="210"/>
      <c r="E108" s="127"/>
      <c r="F108" s="159"/>
      <c r="G108" s="127"/>
      <c r="H108" s="159"/>
      <c r="I108" s="127"/>
      <c r="J108" s="159"/>
      <c r="L108" s="25" t="s">
        <v>119</v>
      </c>
      <c r="M108" s="219">
        <f>ROUNDDOWN(C122/2.5,0)*2.5</f>
        <v>15</v>
      </c>
      <c r="N108" s="220">
        <f>ROUNDUP(C122/2.5,0)*2.5</f>
        <v>15</v>
      </c>
      <c r="O108" s="221">
        <f>C122</f>
        <v>15</v>
      </c>
      <c r="Q108" s="25" t="s">
        <v>119</v>
      </c>
      <c r="R108" s="123">
        <v>7.5</v>
      </c>
      <c r="S108" s="178">
        <v>10</v>
      </c>
      <c r="T108" s="178">
        <v>12.5</v>
      </c>
      <c r="U108" s="178">
        <v>15</v>
      </c>
      <c r="V108" s="178">
        <v>17.5</v>
      </c>
      <c r="W108" s="178">
        <v>20</v>
      </c>
      <c r="X108" s="178">
        <v>22.5</v>
      </c>
      <c r="Y108" s="178">
        <v>25</v>
      </c>
      <c r="Z108" s="124">
        <v>30</v>
      </c>
      <c r="AB108" s="25" t="s">
        <v>119</v>
      </c>
      <c r="AC108" s="222">
        <v>7.5</v>
      </c>
      <c r="AD108" s="223">
        <v>10</v>
      </c>
      <c r="AE108" s="223">
        <v>12.5</v>
      </c>
      <c r="AF108" s="223">
        <v>15</v>
      </c>
      <c r="AG108" s="223">
        <v>17.5</v>
      </c>
      <c r="AH108" s="223">
        <v>20</v>
      </c>
      <c r="AI108" s="223">
        <v>22.5</v>
      </c>
      <c r="AJ108" s="223">
        <v>25</v>
      </c>
      <c r="AK108" s="224">
        <v>30</v>
      </c>
    </row>
    <row r="109" spans="1:37" ht="25.5">
      <c r="A109" s="225" t="s">
        <v>120</v>
      </c>
      <c r="B109" s="226">
        <f>$O109*190</f>
        <v>190</v>
      </c>
      <c r="C109" s="226">
        <f>$O109*180</f>
        <v>180</v>
      </c>
      <c r="D109" s="227" t="s">
        <v>121</v>
      </c>
      <c r="E109" s="228">
        <f>$O109*136</f>
        <v>136</v>
      </c>
      <c r="F109" s="229">
        <f>$O109*131</f>
        <v>131</v>
      </c>
      <c r="G109" s="228">
        <f>$O109*109</f>
        <v>109</v>
      </c>
      <c r="H109" s="229">
        <f>$O109*103</f>
        <v>103</v>
      </c>
      <c r="I109" s="228">
        <f>$O109*98</f>
        <v>98</v>
      </c>
      <c r="J109" s="229">
        <f>$O109*82</f>
        <v>82</v>
      </c>
      <c r="L109" s="230" t="s">
        <v>120</v>
      </c>
      <c r="M109" s="231">
        <f>IF($C$120="RESINEUX",HLOOKUP(M$108,$R$108:$Z$114,2,TRUE),IF($C$120="CHENE",HLOOKUP(M$108,$AC$108:$AK$114,2,TRUE)))</f>
        <v>1</v>
      </c>
      <c r="N109" s="232">
        <f>IF($C$120="RESINEUX",HLOOKUP(N$108,$R$108:$Z$114,2,TRUE),IF($C$120="CHENE",HLOOKUP(N$108,$AC$108:$AK$114,2,TRUE)))</f>
        <v>1</v>
      </c>
      <c r="O109" s="233">
        <f t="shared" ref="O109:O114" si="3">IF($M$108=$N$108,M109,M109-(M109-N109)/($M$108-$N$108)*($M$108-$C$122))</f>
        <v>1</v>
      </c>
      <c r="Q109" s="230" t="s">
        <v>120</v>
      </c>
      <c r="R109" s="234">
        <f t="shared" ref="R109:Z109" si="4">1.3-0.1*(R$108-7.5)/2.5</f>
        <v>1.3</v>
      </c>
      <c r="S109" s="235">
        <f t="shared" si="4"/>
        <v>1.2</v>
      </c>
      <c r="T109" s="235">
        <f t="shared" si="4"/>
        <v>1.1000000000000001</v>
      </c>
      <c r="U109" s="235">
        <f t="shared" si="4"/>
        <v>1</v>
      </c>
      <c r="V109" s="235">
        <f t="shared" si="4"/>
        <v>0.9</v>
      </c>
      <c r="W109" s="235">
        <f t="shared" si="4"/>
        <v>0.8</v>
      </c>
      <c r="X109" s="235">
        <f t="shared" si="4"/>
        <v>0.70000000000000007</v>
      </c>
      <c r="Y109" s="235">
        <f t="shared" si="4"/>
        <v>0.60000000000000009</v>
      </c>
      <c r="Z109" s="236">
        <f t="shared" si="4"/>
        <v>0.4</v>
      </c>
      <c r="AB109" s="230" t="s">
        <v>120</v>
      </c>
      <c r="AC109" s="237">
        <v>1.25</v>
      </c>
      <c r="AD109" s="238">
        <v>1.175</v>
      </c>
      <c r="AE109" s="238">
        <v>1.1000000000000001</v>
      </c>
      <c r="AF109" s="238">
        <v>1</v>
      </c>
      <c r="AG109" s="238">
        <v>0.9</v>
      </c>
      <c r="AH109" s="238">
        <v>0.8</v>
      </c>
      <c r="AI109" s="238">
        <v>0.77500000000000002</v>
      </c>
      <c r="AJ109" s="238">
        <v>0.65</v>
      </c>
      <c r="AK109" s="239">
        <v>0.47499999999999998</v>
      </c>
    </row>
    <row r="110" spans="1:37" ht="25.5">
      <c r="A110" s="225" t="s">
        <v>122</v>
      </c>
      <c r="B110" s="226">
        <f>$O110*435</f>
        <v>434.99999999999994</v>
      </c>
      <c r="C110" s="226">
        <f>$O110*363</f>
        <v>362.99999999999994</v>
      </c>
      <c r="D110" s="227" t="s">
        <v>123</v>
      </c>
      <c r="E110" s="228">
        <f>$O110*164</f>
        <v>163.99999999999997</v>
      </c>
      <c r="F110" s="229">
        <f>$O110*152</f>
        <v>151.99999999999997</v>
      </c>
      <c r="G110" s="228">
        <f>$O110*98</f>
        <v>97.999999999999986</v>
      </c>
      <c r="H110" s="229">
        <f>$O110*87</f>
        <v>86.999999999999986</v>
      </c>
      <c r="I110" s="228">
        <f>$O110*38</f>
        <v>37.999999999999993</v>
      </c>
      <c r="J110" s="229">
        <f>$O110*27</f>
        <v>26.999999999999996</v>
      </c>
      <c r="L110" s="225" t="s">
        <v>122</v>
      </c>
      <c r="M110" s="231">
        <f>IF($C$120="RESINEUX",HLOOKUP(M$108,$R$108:$Z$114,3,TRUE),IF($C$120="CHENE",HLOOKUP(M$108,$AC$108:$AK$114,3,TRUE)))</f>
        <v>0.99999999999999989</v>
      </c>
      <c r="N110" s="232">
        <f>IF($C$120="RESINEUX",HLOOKUP(N$108,$R$108:$Z$114,2,TRUE),IF($C$120="CHENE",HLOOKUP(N$108,$AC$108:$AK$114,2,TRUE)))</f>
        <v>1</v>
      </c>
      <c r="O110" s="240">
        <f t="shared" si="3"/>
        <v>0.99999999999999989</v>
      </c>
      <c r="Q110" s="225" t="s">
        <v>122</v>
      </c>
      <c r="R110" s="231">
        <f t="shared" ref="R110:Z110" si="5">1.15-0.05*(R$108-7.5)/2.5</f>
        <v>1.1499999999999999</v>
      </c>
      <c r="S110" s="73">
        <f t="shared" si="5"/>
        <v>1.0999999999999999</v>
      </c>
      <c r="T110" s="73">
        <f t="shared" si="5"/>
        <v>1.0499999999999998</v>
      </c>
      <c r="U110" s="73">
        <f t="shared" si="5"/>
        <v>0.99999999999999989</v>
      </c>
      <c r="V110" s="73">
        <f t="shared" si="5"/>
        <v>0.95</v>
      </c>
      <c r="W110" s="73">
        <f t="shared" si="5"/>
        <v>0.89999999999999991</v>
      </c>
      <c r="X110" s="73">
        <f t="shared" si="5"/>
        <v>0.84999999999999987</v>
      </c>
      <c r="Y110" s="73">
        <f t="shared" si="5"/>
        <v>0.79999999999999993</v>
      </c>
      <c r="Z110" s="232">
        <f t="shared" si="5"/>
        <v>0.7</v>
      </c>
      <c r="AB110" s="225" t="s">
        <v>122</v>
      </c>
      <c r="AC110" s="241">
        <f t="shared" ref="AC110:AK110" si="6">1.15-0.05*(AC$108-7.5)/2.5</f>
        <v>1.1499999999999999</v>
      </c>
      <c r="AD110" s="92">
        <f t="shared" si="6"/>
        <v>1.0999999999999999</v>
      </c>
      <c r="AE110" s="92">
        <f t="shared" si="6"/>
        <v>1.0499999999999998</v>
      </c>
      <c r="AF110" s="92">
        <f t="shared" si="6"/>
        <v>0.99999999999999989</v>
      </c>
      <c r="AG110" s="92">
        <f t="shared" si="6"/>
        <v>0.95</v>
      </c>
      <c r="AH110" s="92">
        <f t="shared" si="6"/>
        <v>0.89999999999999991</v>
      </c>
      <c r="AI110" s="92">
        <f t="shared" si="6"/>
        <v>0.84999999999999987</v>
      </c>
      <c r="AJ110" s="92">
        <f t="shared" si="6"/>
        <v>0.79999999999999993</v>
      </c>
      <c r="AK110" s="242">
        <f t="shared" si="6"/>
        <v>0.7</v>
      </c>
    </row>
    <row r="111" spans="1:37" ht="25.5">
      <c r="A111" s="225" t="s">
        <v>124</v>
      </c>
      <c r="B111" s="226">
        <f>$O111*212</f>
        <v>211.99999999999997</v>
      </c>
      <c r="C111" s="226">
        <f>$O111*202</f>
        <v>201.99999999999997</v>
      </c>
      <c r="D111" s="227" t="s">
        <v>39</v>
      </c>
      <c r="E111" s="228">
        <f>$O111*147</f>
        <v>146.99999999999997</v>
      </c>
      <c r="F111" s="229">
        <f>$O111*142</f>
        <v>141.99999999999997</v>
      </c>
      <c r="G111" s="228">
        <f>$O111*125</f>
        <v>124.99999999999999</v>
      </c>
      <c r="H111" s="229">
        <f>$O111*109</f>
        <v>108.99999999999999</v>
      </c>
      <c r="I111" s="228">
        <f>$O111*109</f>
        <v>108.99999999999999</v>
      </c>
      <c r="J111" s="229">
        <f>$O111*87</f>
        <v>86.999999999999986</v>
      </c>
      <c r="L111" s="225" t="s">
        <v>124</v>
      </c>
      <c r="M111" s="231">
        <f>M110</f>
        <v>0.99999999999999989</v>
      </c>
      <c r="N111" s="232">
        <f>N110</f>
        <v>1</v>
      </c>
      <c r="O111" s="240">
        <f t="shared" si="3"/>
        <v>0.99999999999999989</v>
      </c>
      <c r="Q111" s="225" t="s">
        <v>124</v>
      </c>
      <c r="R111" s="231">
        <f t="shared" ref="R111:Z111" si="7">R110</f>
        <v>1.1499999999999999</v>
      </c>
      <c r="S111" s="73">
        <f t="shared" si="7"/>
        <v>1.0999999999999999</v>
      </c>
      <c r="T111" s="73">
        <f t="shared" si="7"/>
        <v>1.0499999999999998</v>
      </c>
      <c r="U111" s="73">
        <f t="shared" si="7"/>
        <v>0.99999999999999989</v>
      </c>
      <c r="V111" s="73">
        <f t="shared" si="7"/>
        <v>0.95</v>
      </c>
      <c r="W111" s="73">
        <f t="shared" si="7"/>
        <v>0.89999999999999991</v>
      </c>
      <c r="X111" s="73">
        <f t="shared" si="7"/>
        <v>0.84999999999999987</v>
      </c>
      <c r="Y111" s="73">
        <f t="shared" si="7"/>
        <v>0.79999999999999993</v>
      </c>
      <c r="Z111" s="232">
        <f t="shared" si="7"/>
        <v>0.7</v>
      </c>
      <c r="AB111" s="225" t="s">
        <v>124</v>
      </c>
      <c r="AC111" s="241">
        <f t="shared" ref="AC111:AK111" si="8">AC110</f>
        <v>1.1499999999999999</v>
      </c>
      <c r="AD111" s="92">
        <f t="shared" si="8"/>
        <v>1.0999999999999999</v>
      </c>
      <c r="AE111" s="92">
        <f t="shared" si="8"/>
        <v>1.0499999999999998</v>
      </c>
      <c r="AF111" s="92">
        <f t="shared" si="8"/>
        <v>0.99999999999999989</v>
      </c>
      <c r="AG111" s="92">
        <f t="shared" si="8"/>
        <v>0.95</v>
      </c>
      <c r="AH111" s="92">
        <f t="shared" si="8"/>
        <v>0.89999999999999991</v>
      </c>
      <c r="AI111" s="92">
        <f t="shared" si="8"/>
        <v>0.84999999999999987</v>
      </c>
      <c r="AJ111" s="92">
        <f t="shared" si="8"/>
        <v>0.79999999999999993</v>
      </c>
      <c r="AK111" s="242">
        <f t="shared" si="8"/>
        <v>0.7</v>
      </c>
    </row>
    <row r="112" spans="1:37" ht="25.5">
      <c r="A112" s="225" t="s">
        <v>125</v>
      </c>
      <c r="B112" s="226">
        <f>$O112*27</f>
        <v>27</v>
      </c>
      <c r="C112" s="226">
        <f>$O112*22</f>
        <v>22</v>
      </c>
      <c r="D112" s="227" t="s">
        <v>126</v>
      </c>
      <c r="E112" s="228">
        <f>$O112*22</f>
        <v>22</v>
      </c>
      <c r="F112" s="229">
        <f>$O112*16</f>
        <v>16</v>
      </c>
      <c r="G112" s="228">
        <f>$O112*16</f>
        <v>16</v>
      </c>
      <c r="H112" s="229">
        <f>$O112*13</f>
        <v>13</v>
      </c>
      <c r="I112" s="228">
        <f>$O112*13</f>
        <v>13</v>
      </c>
      <c r="J112" s="229">
        <f>$O112*11</f>
        <v>11</v>
      </c>
      <c r="L112" s="225" t="s">
        <v>125</v>
      </c>
      <c r="M112" s="231">
        <f>M109</f>
        <v>1</v>
      </c>
      <c r="N112" s="232">
        <f>N109</f>
        <v>1</v>
      </c>
      <c r="O112" s="240">
        <f t="shared" si="3"/>
        <v>1</v>
      </c>
      <c r="Q112" s="225" t="s">
        <v>125</v>
      </c>
      <c r="R112" s="231">
        <f t="shared" ref="R112:Z112" si="9">R109</f>
        <v>1.3</v>
      </c>
      <c r="S112" s="73">
        <f t="shared" si="9"/>
        <v>1.2</v>
      </c>
      <c r="T112" s="73">
        <f t="shared" si="9"/>
        <v>1.1000000000000001</v>
      </c>
      <c r="U112" s="73">
        <f t="shared" si="9"/>
        <v>1</v>
      </c>
      <c r="V112" s="73">
        <f t="shared" si="9"/>
        <v>0.9</v>
      </c>
      <c r="W112" s="73">
        <f t="shared" si="9"/>
        <v>0.8</v>
      </c>
      <c r="X112" s="73">
        <f t="shared" si="9"/>
        <v>0.70000000000000007</v>
      </c>
      <c r="Y112" s="73">
        <f t="shared" si="9"/>
        <v>0.60000000000000009</v>
      </c>
      <c r="Z112" s="232">
        <f t="shared" si="9"/>
        <v>0.4</v>
      </c>
      <c r="AB112" s="225" t="s">
        <v>125</v>
      </c>
      <c r="AC112" s="241">
        <f t="shared" ref="AC112:AK112" si="10">AC109</f>
        <v>1.25</v>
      </c>
      <c r="AD112" s="92">
        <f t="shared" si="10"/>
        <v>1.175</v>
      </c>
      <c r="AE112" s="92">
        <f t="shared" si="10"/>
        <v>1.1000000000000001</v>
      </c>
      <c r="AF112" s="92">
        <f t="shared" si="10"/>
        <v>1</v>
      </c>
      <c r="AG112" s="92">
        <f t="shared" si="10"/>
        <v>0.9</v>
      </c>
      <c r="AH112" s="92">
        <f t="shared" si="10"/>
        <v>0.8</v>
      </c>
      <c r="AI112" s="92">
        <f t="shared" si="10"/>
        <v>0.77500000000000002</v>
      </c>
      <c r="AJ112" s="92">
        <f t="shared" si="10"/>
        <v>0.65</v>
      </c>
      <c r="AK112" s="242">
        <f t="shared" si="10"/>
        <v>0.47499999999999998</v>
      </c>
    </row>
    <row r="113" spans="1:37" ht="51">
      <c r="A113" s="225" t="s">
        <v>127</v>
      </c>
      <c r="B113" s="226">
        <f>$O113*16</f>
        <v>16</v>
      </c>
      <c r="C113" s="226">
        <f>$O113*12</f>
        <v>12</v>
      </c>
      <c r="D113" s="227" t="s">
        <v>128</v>
      </c>
      <c r="E113" s="228">
        <f>$O113*13</f>
        <v>13</v>
      </c>
      <c r="F113" s="229">
        <f>$O113*9</f>
        <v>9</v>
      </c>
      <c r="G113" s="228">
        <f>$O113*11</f>
        <v>11</v>
      </c>
      <c r="H113" s="229">
        <f>$O113*7</f>
        <v>7</v>
      </c>
      <c r="I113" s="228">
        <f>$O113*0</f>
        <v>0</v>
      </c>
      <c r="J113" s="229">
        <f>$O113*0</f>
        <v>0</v>
      </c>
      <c r="L113" s="225" t="s">
        <v>127</v>
      </c>
      <c r="M113" s="231">
        <f>M109</f>
        <v>1</v>
      </c>
      <c r="N113" s="232">
        <f>N109</f>
        <v>1</v>
      </c>
      <c r="O113" s="240">
        <f t="shared" si="3"/>
        <v>1</v>
      </c>
      <c r="Q113" s="225" t="s">
        <v>127</v>
      </c>
      <c r="R113" s="231">
        <f t="shared" ref="R113:Z113" si="11">R109</f>
        <v>1.3</v>
      </c>
      <c r="S113" s="73">
        <f t="shared" si="11"/>
        <v>1.2</v>
      </c>
      <c r="T113" s="73">
        <f t="shared" si="11"/>
        <v>1.1000000000000001</v>
      </c>
      <c r="U113" s="73">
        <f t="shared" si="11"/>
        <v>1</v>
      </c>
      <c r="V113" s="73">
        <f t="shared" si="11"/>
        <v>0.9</v>
      </c>
      <c r="W113" s="73">
        <f t="shared" si="11"/>
        <v>0.8</v>
      </c>
      <c r="X113" s="73">
        <f t="shared" si="11"/>
        <v>0.70000000000000007</v>
      </c>
      <c r="Y113" s="73">
        <f t="shared" si="11"/>
        <v>0.60000000000000009</v>
      </c>
      <c r="Z113" s="232">
        <f t="shared" si="11"/>
        <v>0.4</v>
      </c>
      <c r="AB113" s="225" t="s">
        <v>127</v>
      </c>
      <c r="AC113" s="241">
        <f t="shared" ref="AC113:AK113" si="12">AC109</f>
        <v>1.25</v>
      </c>
      <c r="AD113" s="92">
        <f t="shared" si="12"/>
        <v>1.175</v>
      </c>
      <c r="AE113" s="92">
        <f t="shared" si="12"/>
        <v>1.1000000000000001</v>
      </c>
      <c r="AF113" s="92">
        <f t="shared" si="12"/>
        <v>1</v>
      </c>
      <c r="AG113" s="92">
        <f t="shared" si="12"/>
        <v>0.9</v>
      </c>
      <c r="AH113" s="92">
        <f t="shared" si="12"/>
        <v>0.8</v>
      </c>
      <c r="AI113" s="92">
        <f t="shared" si="12"/>
        <v>0.77500000000000002</v>
      </c>
      <c r="AJ113" s="92">
        <f t="shared" si="12"/>
        <v>0.65</v>
      </c>
      <c r="AK113" s="242">
        <f t="shared" si="12"/>
        <v>0.47499999999999998</v>
      </c>
    </row>
    <row r="114" spans="1:37" ht="38.25">
      <c r="A114" s="243" t="s">
        <v>129</v>
      </c>
      <c r="B114" s="244">
        <f>$O114*54</f>
        <v>54</v>
      </c>
      <c r="C114" s="244">
        <f>$O114*30</f>
        <v>30</v>
      </c>
      <c r="D114" s="245" t="s">
        <v>130</v>
      </c>
      <c r="E114" s="246">
        <f>$O114*49</f>
        <v>49</v>
      </c>
      <c r="F114" s="247">
        <f>$O114*27</f>
        <v>27</v>
      </c>
      <c r="G114" s="246">
        <f>$O114*39</f>
        <v>39</v>
      </c>
      <c r="H114" s="247">
        <f>$O114*22</f>
        <v>22</v>
      </c>
      <c r="I114" s="246">
        <f>$O114*32</f>
        <v>32</v>
      </c>
      <c r="J114" s="247">
        <f>$O114*17</f>
        <v>17</v>
      </c>
      <c r="L114" s="243" t="s">
        <v>129</v>
      </c>
      <c r="M114" s="248">
        <f>M109</f>
        <v>1</v>
      </c>
      <c r="N114" s="249">
        <f>N109</f>
        <v>1</v>
      </c>
      <c r="O114" s="250">
        <f t="shared" si="3"/>
        <v>1</v>
      </c>
      <c r="Q114" s="243" t="s">
        <v>129</v>
      </c>
      <c r="R114" s="248">
        <f t="shared" ref="R114:Z114" si="13">R109</f>
        <v>1.3</v>
      </c>
      <c r="S114" s="251">
        <f t="shared" si="13"/>
        <v>1.2</v>
      </c>
      <c r="T114" s="251">
        <f t="shared" si="13"/>
        <v>1.1000000000000001</v>
      </c>
      <c r="U114" s="251">
        <f t="shared" si="13"/>
        <v>1</v>
      </c>
      <c r="V114" s="251">
        <f t="shared" si="13"/>
        <v>0.9</v>
      </c>
      <c r="W114" s="251">
        <f t="shared" si="13"/>
        <v>0.8</v>
      </c>
      <c r="X114" s="251">
        <f t="shared" si="13"/>
        <v>0.70000000000000007</v>
      </c>
      <c r="Y114" s="251">
        <f t="shared" si="13"/>
        <v>0.60000000000000009</v>
      </c>
      <c r="Z114" s="249">
        <f t="shared" si="13"/>
        <v>0.4</v>
      </c>
      <c r="AB114" s="243" t="s">
        <v>129</v>
      </c>
      <c r="AC114" s="252">
        <f t="shared" ref="AC114:AK114" si="14">AC109</f>
        <v>1.25</v>
      </c>
      <c r="AD114" s="253">
        <f t="shared" si="14"/>
        <v>1.175</v>
      </c>
      <c r="AE114" s="253">
        <f t="shared" si="14"/>
        <v>1.1000000000000001</v>
      </c>
      <c r="AF114" s="253">
        <f t="shared" si="14"/>
        <v>1</v>
      </c>
      <c r="AG114" s="253">
        <f t="shared" si="14"/>
        <v>0.9</v>
      </c>
      <c r="AH114" s="253">
        <f t="shared" si="14"/>
        <v>0.8</v>
      </c>
      <c r="AI114" s="253">
        <f t="shared" si="14"/>
        <v>0.77500000000000002</v>
      </c>
      <c r="AJ114" s="253">
        <f t="shared" si="14"/>
        <v>0.65</v>
      </c>
      <c r="AK114" s="254">
        <f t="shared" si="14"/>
        <v>0.47499999999999998</v>
      </c>
    </row>
    <row r="115" spans="1:37">
      <c r="AC115" s="105"/>
      <c r="AD115" s="105"/>
      <c r="AE115" s="105"/>
      <c r="AF115" s="105"/>
      <c r="AG115" s="105"/>
      <c r="AH115" s="105"/>
      <c r="AI115" s="105"/>
      <c r="AJ115" s="105"/>
      <c r="AK115" s="105"/>
    </row>
    <row r="116" spans="1:37">
      <c r="AC116" s="105"/>
      <c r="AD116" s="105"/>
      <c r="AE116" s="105"/>
      <c r="AF116" s="105"/>
      <c r="AG116" s="105"/>
      <c r="AH116" s="105"/>
      <c r="AI116" s="105"/>
      <c r="AJ116" s="105"/>
      <c r="AK116" s="105"/>
    </row>
    <row r="117" spans="1:37">
      <c r="A117" s="322" t="s">
        <v>105</v>
      </c>
      <c r="B117" s="326"/>
      <c r="C117" s="322" t="s">
        <v>107</v>
      </c>
      <c r="D117" s="330"/>
      <c r="E117" s="322" t="s">
        <v>131</v>
      </c>
      <c r="F117" s="330"/>
      <c r="K117" s="255"/>
      <c r="L117" s="322" t="s">
        <v>132</v>
      </c>
      <c r="M117" s="330"/>
      <c r="AC117" s="105"/>
      <c r="AD117" s="105"/>
      <c r="AE117" s="105"/>
      <c r="AF117" s="105"/>
      <c r="AG117" s="105"/>
      <c r="AH117" s="105"/>
      <c r="AI117" s="105"/>
      <c r="AJ117" s="105"/>
      <c r="AK117" s="105"/>
    </row>
    <row r="118" spans="1:37">
      <c r="A118" s="323"/>
      <c r="B118" s="327"/>
      <c r="C118" s="334" t="s">
        <v>133</v>
      </c>
      <c r="D118" s="335"/>
      <c r="E118" s="127"/>
      <c r="F118" s="159"/>
      <c r="L118" s="127"/>
      <c r="M118" s="159"/>
      <c r="AC118" s="105"/>
      <c r="AD118" s="105"/>
      <c r="AE118" s="105"/>
      <c r="AF118" s="105"/>
      <c r="AG118" s="105"/>
      <c r="AH118" s="105"/>
      <c r="AI118" s="105"/>
      <c r="AJ118" s="105"/>
      <c r="AK118" s="105"/>
    </row>
    <row r="119" spans="1:37">
      <c r="A119" s="217"/>
      <c r="B119" s="218"/>
      <c r="C119" s="336">
        <f>G8</f>
        <v>2</v>
      </c>
      <c r="D119" s="337"/>
      <c r="E119" s="136"/>
      <c r="F119" s="164"/>
      <c r="L119" s="136"/>
      <c r="M119" s="164"/>
      <c r="AC119" s="105"/>
      <c r="AD119" s="105"/>
      <c r="AE119" s="105"/>
      <c r="AF119" s="105"/>
      <c r="AG119" s="105"/>
      <c r="AH119" s="105"/>
      <c r="AI119" s="105"/>
      <c r="AJ119" s="105"/>
      <c r="AK119" s="105"/>
    </row>
    <row r="120" spans="1:37">
      <c r="A120" s="123"/>
      <c r="B120" s="123"/>
      <c r="C120" s="338" t="str">
        <f>G6</f>
        <v>RESINEUX</v>
      </c>
      <c r="D120" s="339"/>
      <c r="E120" s="338" t="str">
        <f>G7</f>
        <v>MASSIF</v>
      </c>
      <c r="F120" s="339"/>
      <c r="L120" s="340" t="str">
        <f>E120</f>
        <v>MASSIF</v>
      </c>
      <c r="M120" s="341"/>
      <c r="AC120" s="105"/>
      <c r="AD120" s="105"/>
      <c r="AE120" s="105"/>
      <c r="AF120" s="105"/>
      <c r="AG120" s="105"/>
      <c r="AH120" s="105"/>
      <c r="AI120" s="105"/>
      <c r="AJ120" s="105"/>
      <c r="AK120" s="105"/>
    </row>
    <row r="121" spans="1:37">
      <c r="A121" s="127"/>
      <c r="B121" s="127"/>
      <c r="C121" s="342" t="s">
        <v>134</v>
      </c>
      <c r="D121" s="343"/>
      <c r="E121" s="127"/>
      <c r="F121" s="159"/>
      <c r="L121" s="127"/>
      <c r="M121" s="159"/>
      <c r="AC121" s="105"/>
      <c r="AD121" s="105"/>
      <c r="AE121" s="105"/>
      <c r="AF121" s="105"/>
      <c r="AG121" s="105"/>
      <c r="AH121" s="105"/>
      <c r="AI121" s="105"/>
      <c r="AJ121" s="105"/>
      <c r="AK121" s="105"/>
    </row>
    <row r="122" spans="1:37">
      <c r="A122" s="127"/>
      <c r="B122" s="127"/>
      <c r="C122" s="344">
        <f>C36*100</f>
        <v>15</v>
      </c>
      <c r="D122" s="345"/>
      <c r="E122" s="127"/>
      <c r="F122" s="159"/>
      <c r="L122" s="127"/>
      <c r="M122" s="159"/>
      <c r="AC122" s="105"/>
      <c r="AD122" s="105"/>
      <c r="AE122" s="105"/>
      <c r="AF122" s="105"/>
      <c r="AG122" s="105"/>
      <c r="AH122" s="105"/>
      <c r="AI122" s="105"/>
      <c r="AJ122" s="105"/>
      <c r="AK122" s="105"/>
    </row>
    <row r="123" spans="1:37" ht="20.25">
      <c r="A123" s="225" t="s">
        <v>120</v>
      </c>
      <c r="B123" s="172" t="s">
        <v>121</v>
      </c>
      <c r="C123" s="342">
        <f t="shared" ref="C123:C128" si="15">IF(AND($C$120="RESINEUX",$C$119=1),F109,IF(AND($C$120="RESINEUX",$C$119=2),H109,IF(AND($C$120="RESINEUX",$C$119=3),J109,IF(AND($C$120="CHENE",$C$119=1),E109,IF(AND($C$120="CHENE",$C$119=2),G109,IF(AND($C$120="CHENE",$C$119=3),I109))))))</f>
        <v>103</v>
      </c>
      <c r="D123" s="343"/>
      <c r="E123" s="257">
        <f>IF(OR($E$120="MASSIF",$E$120="LAMELLE"),150%,IF($E$120="CONTRE PLAQUE",150%))</f>
        <v>1.5</v>
      </c>
      <c r="F123" s="258">
        <f t="shared" ref="F123:F128" si="16">E123*C123</f>
        <v>154.5</v>
      </c>
      <c r="H123" s="346" t="s">
        <v>73</v>
      </c>
      <c r="I123" s="346"/>
      <c r="J123" s="346"/>
      <c r="K123" s="259" t="s">
        <v>135</v>
      </c>
      <c r="L123" s="347">
        <f>IF($E$120="MASSIF",IF($C$120="CHENE",12000*SQRT(C123),IF($C$120="RESINEUX",11000*SQRT(C123))),IF($E$120="LAMELLE",IF($C$120="CHENE",11400*SQRT(C123),IF($C$120="RESINEUX",11500*SQRT(C123)))))</f>
        <v>111637.80721601441</v>
      </c>
      <c r="M123" s="348"/>
      <c r="O123" s="7">
        <f>L123/SQRT(C123)</f>
        <v>11000</v>
      </c>
      <c r="AC123" s="105"/>
      <c r="AD123" s="105"/>
      <c r="AE123" s="105"/>
      <c r="AF123" s="105"/>
      <c r="AG123" s="105"/>
      <c r="AH123" s="105"/>
      <c r="AI123" s="105"/>
      <c r="AJ123" s="105"/>
      <c r="AK123" s="105"/>
    </row>
    <row r="124" spans="1:37" ht="20.25">
      <c r="A124" s="225" t="s">
        <v>122</v>
      </c>
      <c r="B124" s="172" t="s">
        <v>123</v>
      </c>
      <c r="C124" s="342">
        <f t="shared" si="15"/>
        <v>86.999999999999986</v>
      </c>
      <c r="D124" s="343"/>
      <c r="E124" s="257">
        <f>IF(OR($E$120="MASSIF",$E$120="LAMELLE"),225%,IF($E$120="CONTRE PLAQUE",150%))</f>
        <v>2.25</v>
      </c>
      <c r="F124" s="258">
        <f t="shared" si="16"/>
        <v>195.74999999999997</v>
      </c>
      <c r="H124" s="346" t="s">
        <v>72</v>
      </c>
      <c r="I124" s="346"/>
      <c r="J124" s="346"/>
      <c r="K124" s="259" t="s">
        <v>136</v>
      </c>
      <c r="L124" s="347">
        <f>IF($E$120="MASSIF",IF($C$120="CHENE",12000*SQRT(C124),IF($C$120="RESINEUX",11000*SQRT(C124))),IF($E$120="LAMELLE",IF($C$120="CHENE",11400*SQRT(C124),IF($C$120="RESINEUX",11500*SQRT(C124)))))</f>
        <v>102601.16958397695</v>
      </c>
      <c r="M124" s="348"/>
      <c r="O124" s="7">
        <f>L124/SQRT(C124)</f>
        <v>11000</v>
      </c>
      <c r="AC124" s="105"/>
      <c r="AD124" s="105"/>
      <c r="AE124" s="105"/>
      <c r="AF124" s="105"/>
      <c r="AG124" s="105"/>
      <c r="AH124" s="105"/>
      <c r="AI124" s="105"/>
      <c r="AJ124" s="105"/>
      <c r="AK124" s="105"/>
    </row>
    <row r="125" spans="1:37" ht="20.25">
      <c r="A125" s="225" t="s">
        <v>124</v>
      </c>
      <c r="B125" s="172" t="s">
        <v>39</v>
      </c>
      <c r="C125" s="342">
        <f t="shared" si="15"/>
        <v>108.99999999999999</v>
      </c>
      <c r="D125" s="343"/>
      <c r="E125" s="257">
        <f>IF(OR($E$120="MASSIF",$E$120="LAMELLE"),175%,IF($E$120="CONTRE PLAQUE",150%))</f>
        <v>1.75</v>
      </c>
      <c r="F125" s="258">
        <f t="shared" si="16"/>
        <v>190.74999999999997</v>
      </c>
      <c r="H125" s="346" t="s">
        <v>137</v>
      </c>
      <c r="I125" s="346"/>
      <c r="J125" s="346"/>
      <c r="K125" s="259" t="s">
        <v>138</v>
      </c>
      <c r="L125" s="347">
        <f>IF($E$120="MASSIF",IF($C$120="CHENE",12000*SQRT(C125),IF($C$120="RESINEUX",11000*SQRT(C125))),IF($E$120="LAMELLE",IF($C$120="CHENE",11400*SQRT(C125),IF($C$120="RESINEUX",11500*SQRT(C125)))))</f>
        <v>114843.37159801603</v>
      </c>
      <c r="M125" s="348"/>
      <c r="O125" s="7">
        <f>L125/SQRT(C125)</f>
        <v>11000</v>
      </c>
      <c r="AC125" s="105"/>
      <c r="AD125" s="105"/>
      <c r="AE125" s="105"/>
      <c r="AF125" s="105"/>
      <c r="AG125" s="105"/>
      <c r="AH125" s="105"/>
      <c r="AI125" s="105"/>
      <c r="AJ125" s="105"/>
      <c r="AK125" s="105"/>
    </row>
    <row r="126" spans="1:37" ht="20.25">
      <c r="A126" s="225" t="s">
        <v>125</v>
      </c>
      <c r="B126" s="172" t="s">
        <v>126</v>
      </c>
      <c r="C126" s="342">
        <f t="shared" si="15"/>
        <v>13</v>
      </c>
      <c r="D126" s="343"/>
      <c r="E126" s="257">
        <f>IF(OR($E$120="MASSIF",$E$120="LAMELLE"),150%,IF($E$120="CONTRE PLAQUE",150%))</f>
        <v>1.5</v>
      </c>
      <c r="F126" s="258">
        <f t="shared" si="16"/>
        <v>19.5</v>
      </c>
      <c r="H126" s="346" t="s">
        <v>139</v>
      </c>
      <c r="I126" s="346"/>
      <c r="J126" s="346"/>
      <c r="K126" s="259" t="s">
        <v>140</v>
      </c>
      <c r="L126" s="347">
        <f>IF($E$120="MASSIF",300*SQRT(C125),IF($E$120="LAMELLE",310*SQRT(C125)))</f>
        <v>3132.0919526731645</v>
      </c>
      <c r="M126" s="348"/>
      <c r="O126" s="7">
        <f>L126/SQRT(C125)</f>
        <v>300</v>
      </c>
      <c r="AC126" s="105"/>
      <c r="AD126" s="105"/>
      <c r="AE126" s="105"/>
      <c r="AF126" s="105"/>
      <c r="AG126" s="105"/>
      <c r="AH126" s="105"/>
      <c r="AI126" s="105"/>
      <c r="AJ126" s="105"/>
      <c r="AK126" s="105"/>
    </row>
    <row r="127" spans="1:37" ht="25.5">
      <c r="A127" s="225" t="s">
        <v>127</v>
      </c>
      <c r="B127" s="172" t="s">
        <v>128</v>
      </c>
      <c r="C127" s="342">
        <f t="shared" si="15"/>
        <v>7</v>
      </c>
      <c r="D127" s="343"/>
      <c r="E127" s="257">
        <f>IF(OR($E$120="MASSIF",$E$120="LAMELLE"),150%,IF($E$120="CONTRE PLAQUE",150%))</f>
        <v>1.5</v>
      </c>
      <c r="F127" s="258">
        <f t="shared" si="16"/>
        <v>10.5</v>
      </c>
      <c r="H127" s="346" t="s">
        <v>141</v>
      </c>
      <c r="I127" s="346"/>
      <c r="J127" s="346"/>
      <c r="K127" s="259" t="s">
        <v>142</v>
      </c>
      <c r="L127" s="347">
        <f>IF($E$120="MASSIF",800*SQRT(C125),IF($E$120="LAMELLE",760*SQRT(C125)))</f>
        <v>8352.2452071284388</v>
      </c>
      <c r="M127" s="348"/>
      <c r="O127" s="7">
        <f>L127/SQRT(C125)</f>
        <v>800</v>
      </c>
      <c r="AE127" s="105"/>
      <c r="AF127" s="105"/>
      <c r="AG127" s="105"/>
      <c r="AH127" s="105"/>
      <c r="AI127" s="105"/>
      <c r="AJ127" s="105"/>
      <c r="AK127" s="105"/>
    </row>
    <row r="128" spans="1:37" ht="20.25">
      <c r="A128" s="243" t="s">
        <v>129</v>
      </c>
      <c r="B128" s="260" t="s">
        <v>130</v>
      </c>
      <c r="C128" s="349">
        <f t="shared" si="15"/>
        <v>22</v>
      </c>
      <c r="D128" s="350"/>
      <c r="E128" s="262">
        <f>IF(OR($E$120="MASSIF",$E$120="LAMELLE"),150%,IF($E$120="CONTRE PLAQUE",150%))</f>
        <v>1.5</v>
      </c>
      <c r="F128" s="263">
        <f t="shared" si="16"/>
        <v>33</v>
      </c>
      <c r="H128" s="346" t="s">
        <v>143</v>
      </c>
      <c r="I128" s="346"/>
      <c r="J128" s="346"/>
      <c r="K128" s="259" t="s">
        <v>144</v>
      </c>
      <c r="L128" s="351">
        <f>IF($E$120="MASSIF",1500*SQRT(C128),IF($E$120="LAMELLE",1420*SQRT(C128)))</f>
        <v>7035.6236397351449</v>
      </c>
      <c r="M128" s="352"/>
      <c r="O128" s="7">
        <f>L128/SQRT(C128)</f>
        <v>1500</v>
      </c>
      <c r="AC128" s="105"/>
      <c r="AD128" s="105"/>
      <c r="AE128" s="105"/>
      <c r="AF128" s="105"/>
      <c r="AG128" s="105"/>
      <c r="AH128" s="105"/>
      <c r="AI128" s="105"/>
      <c r="AJ128" s="105"/>
      <c r="AK128" s="105"/>
    </row>
    <row r="129" spans="1:37">
      <c r="AC129" s="105"/>
      <c r="AD129" s="105"/>
      <c r="AE129" s="105"/>
      <c r="AF129" s="105"/>
      <c r="AG129" s="105"/>
      <c r="AH129" s="105"/>
      <c r="AI129" s="105"/>
      <c r="AJ129" s="105"/>
      <c r="AK129" s="105"/>
    </row>
    <row r="130" spans="1:37">
      <c r="AC130" s="105"/>
      <c r="AD130" s="105"/>
      <c r="AE130" s="105"/>
      <c r="AF130" s="105"/>
      <c r="AG130" s="105"/>
      <c r="AH130" s="105"/>
      <c r="AI130" s="105"/>
      <c r="AJ130" s="105"/>
      <c r="AK130" s="105"/>
    </row>
    <row r="131" spans="1:37">
      <c r="E131" s="259"/>
      <c r="AC131" s="105"/>
      <c r="AD131" s="105"/>
      <c r="AE131" s="105"/>
      <c r="AF131" s="105"/>
      <c r="AG131" s="105"/>
      <c r="AH131" s="105"/>
      <c r="AI131" s="105"/>
      <c r="AJ131" s="105"/>
      <c r="AK131" s="105"/>
    </row>
    <row r="132" spans="1:37">
      <c r="AC132" s="105"/>
      <c r="AD132" s="105"/>
      <c r="AE132" s="105"/>
      <c r="AF132" s="105"/>
      <c r="AG132" s="105"/>
      <c r="AH132" s="105"/>
      <c r="AI132" s="105"/>
      <c r="AJ132" s="105"/>
      <c r="AK132" s="105"/>
    </row>
    <row r="133" spans="1:37">
      <c r="AC133" s="105"/>
      <c r="AD133" s="105"/>
      <c r="AE133" s="105"/>
      <c r="AF133" s="105"/>
      <c r="AG133" s="105"/>
      <c r="AH133" s="105"/>
      <c r="AI133" s="105"/>
      <c r="AJ133" s="105"/>
      <c r="AK133" s="105"/>
    </row>
    <row r="134" spans="1:37" ht="18">
      <c r="A134" s="264" t="s">
        <v>145</v>
      </c>
      <c r="AC134" s="105"/>
      <c r="AD134" s="105"/>
      <c r="AE134" s="105"/>
      <c r="AF134" s="105"/>
      <c r="AG134" s="105"/>
      <c r="AH134" s="105"/>
      <c r="AI134" s="105"/>
      <c r="AJ134" s="105"/>
      <c r="AK134" s="105"/>
    </row>
    <row r="135" spans="1:37" ht="18">
      <c r="A135" s="264"/>
      <c r="AC135" s="105"/>
      <c r="AD135" s="105"/>
      <c r="AE135" s="105"/>
      <c r="AF135" s="105"/>
      <c r="AG135" s="105"/>
      <c r="AH135" s="105"/>
      <c r="AI135" s="105"/>
      <c r="AJ135" s="105"/>
      <c r="AK135" s="105"/>
    </row>
    <row r="136" spans="1:37">
      <c r="A136" s="111" t="s">
        <v>146</v>
      </c>
      <c r="AC136" s="105"/>
      <c r="AD136" s="105"/>
      <c r="AE136" s="105"/>
      <c r="AF136" s="105"/>
      <c r="AG136" s="105"/>
      <c r="AH136" s="105"/>
      <c r="AI136" s="105"/>
      <c r="AJ136" s="105"/>
      <c r="AK136" s="105"/>
    </row>
    <row r="137" spans="1:37" ht="18">
      <c r="A137" s="264"/>
      <c r="AC137" s="105"/>
      <c r="AD137" s="105"/>
      <c r="AE137" s="105"/>
      <c r="AF137" s="105"/>
      <c r="AG137" s="105"/>
      <c r="AH137" s="105"/>
      <c r="AI137" s="105"/>
      <c r="AJ137" s="105"/>
      <c r="AK137" s="105"/>
    </row>
    <row r="138" spans="1:37">
      <c r="A138" s="111" t="s">
        <v>147</v>
      </c>
      <c r="AC138" s="105"/>
      <c r="AD138" s="105"/>
      <c r="AE138" s="105"/>
      <c r="AF138" s="105"/>
      <c r="AG138" s="105"/>
      <c r="AH138" s="105"/>
      <c r="AI138" s="105"/>
      <c r="AJ138" s="105"/>
      <c r="AK138" s="105"/>
    </row>
    <row r="139" spans="1:37">
      <c r="A139" s="7" t="s">
        <v>148</v>
      </c>
      <c r="D139" s="214">
        <f>2/3</f>
        <v>0.66666666666666663</v>
      </c>
      <c r="AC139" s="105"/>
      <c r="AD139" s="105"/>
      <c r="AE139" s="105"/>
      <c r="AF139" s="105"/>
      <c r="AG139" s="105"/>
      <c r="AH139" s="105"/>
      <c r="AI139" s="105"/>
      <c r="AJ139" s="105"/>
      <c r="AK139" s="105"/>
    </row>
    <row r="140" spans="1:37">
      <c r="A140" s="7" t="s">
        <v>149</v>
      </c>
      <c r="D140" s="214">
        <f>1/2</f>
        <v>0.5</v>
      </c>
      <c r="AC140" s="105"/>
      <c r="AD140" s="105"/>
      <c r="AE140" s="105"/>
      <c r="AF140" s="105"/>
      <c r="AG140" s="105"/>
      <c r="AH140" s="105"/>
      <c r="AI140" s="105"/>
      <c r="AJ140" s="105"/>
      <c r="AK140" s="105"/>
    </row>
    <row r="141" spans="1:37" ht="15.75">
      <c r="A141" s="7" t="s">
        <v>150</v>
      </c>
      <c r="D141" s="214">
        <f>1/3</f>
        <v>0.33333333333333331</v>
      </c>
      <c r="Y141" s="216" t="s">
        <v>151</v>
      </c>
      <c r="AC141" s="105"/>
      <c r="AD141" s="105"/>
      <c r="AE141" s="105"/>
      <c r="AF141" s="105"/>
      <c r="AG141" s="105"/>
      <c r="AH141" s="105"/>
      <c r="AI141" s="105"/>
      <c r="AJ141" s="105"/>
      <c r="AK141" s="105"/>
    </row>
    <row r="142" spans="1:37" ht="15.75">
      <c r="A142" s="7" t="s">
        <v>152</v>
      </c>
      <c r="D142" s="214">
        <f>1/2</f>
        <v>0.5</v>
      </c>
      <c r="Y142" s="216" t="s">
        <v>153</v>
      </c>
      <c r="AC142" s="105"/>
      <c r="AD142" s="105"/>
      <c r="AE142" s="105"/>
      <c r="AF142" s="105"/>
      <c r="AG142" s="105"/>
      <c r="AH142" s="105"/>
      <c r="AI142" s="105"/>
      <c r="AJ142" s="105"/>
      <c r="AK142" s="105"/>
    </row>
    <row r="143" spans="1:37">
      <c r="L143" s="8"/>
      <c r="M143" s="8"/>
      <c r="N143" s="8"/>
      <c r="O143" s="8"/>
      <c r="P143" s="8"/>
      <c r="AC143" s="105"/>
      <c r="AD143" s="105"/>
      <c r="AE143" s="105"/>
      <c r="AF143" s="105"/>
      <c r="AG143" s="105"/>
      <c r="AH143" s="105"/>
      <c r="AI143" s="105"/>
      <c r="AJ143" s="105"/>
      <c r="AK143" s="105"/>
    </row>
    <row r="144" spans="1:37">
      <c r="A144" s="111" t="s">
        <v>154</v>
      </c>
      <c r="L144" s="8"/>
      <c r="M144" s="39"/>
      <c r="N144" s="39"/>
      <c r="O144" s="39"/>
      <c r="P144" s="8"/>
      <c r="T144" s="265"/>
      <c r="U144" s="265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266"/>
      <c r="AH144" s="266"/>
      <c r="AI144" s="266"/>
      <c r="AJ144" s="105"/>
      <c r="AK144" s="105"/>
    </row>
    <row r="145" spans="1:37">
      <c r="L145" s="25" t="s">
        <v>155</v>
      </c>
      <c r="M145" s="219">
        <f>MAX(R148:AG148)</f>
        <v>23</v>
      </c>
      <c r="N145" s="220">
        <f>MIN(R147:AG147)</f>
        <v>26</v>
      </c>
      <c r="O145" s="221">
        <f>D147</f>
        <v>25</v>
      </c>
      <c r="Q145" s="267" t="s">
        <v>156</v>
      </c>
      <c r="R145" s="268">
        <v>2</v>
      </c>
      <c r="S145" s="269">
        <v>3</v>
      </c>
      <c r="T145" s="270">
        <v>4</v>
      </c>
      <c r="U145" s="270">
        <v>5</v>
      </c>
      <c r="V145" s="270">
        <v>6</v>
      </c>
      <c r="W145" s="270">
        <v>8</v>
      </c>
      <c r="X145" s="270">
        <v>11</v>
      </c>
      <c r="Y145" s="270">
        <v>15</v>
      </c>
      <c r="Z145" s="270">
        <v>18</v>
      </c>
      <c r="AA145" s="270">
        <v>20</v>
      </c>
      <c r="AB145" s="270">
        <v>23</v>
      </c>
      <c r="AC145" s="270">
        <v>26</v>
      </c>
      <c r="AD145" s="220">
        <v>30</v>
      </c>
      <c r="AE145" s="266">
        <v>40</v>
      </c>
      <c r="AF145" s="266">
        <v>50</v>
      </c>
      <c r="AG145" s="266">
        <v>60</v>
      </c>
      <c r="AH145" s="105"/>
      <c r="AI145" s="105"/>
      <c r="AJ145" s="105"/>
      <c r="AK145" s="105"/>
    </row>
    <row r="146" spans="1:37">
      <c r="A146" s="111" t="s">
        <v>157</v>
      </c>
      <c r="L146" s="127" t="s">
        <v>158</v>
      </c>
      <c r="M146" s="231">
        <f>HLOOKUP(M145,R145:AG146,2,TRUE)</f>
        <v>0.9</v>
      </c>
      <c r="N146" s="232">
        <f>HLOOKUP(N145,R145:AG146,2,TRUE)</f>
        <v>0.85</v>
      </c>
      <c r="O146" s="233">
        <f>IF(M145=N145,M146,M146-(M146-N146)/(M145-N145)*(M145-O145))</f>
        <v>0.8666666666666667</v>
      </c>
      <c r="Q146" s="271" t="s">
        <v>158</v>
      </c>
      <c r="R146" s="272">
        <v>2</v>
      </c>
      <c r="S146" s="273">
        <v>1.8</v>
      </c>
      <c r="T146" s="274">
        <v>1.6</v>
      </c>
      <c r="U146" s="274">
        <v>1.45</v>
      </c>
      <c r="V146" s="274">
        <v>1.3</v>
      </c>
      <c r="W146" s="274">
        <v>1.2</v>
      </c>
      <c r="X146" s="274">
        <v>1.1000000000000001</v>
      </c>
      <c r="Y146" s="274">
        <v>1</v>
      </c>
      <c r="Z146" s="274">
        <v>0.96</v>
      </c>
      <c r="AA146" s="274">
        <v>0.93</v>
      </c>
      <c r="AB146" s="274">
        <v>0.9</v>
      </c>
      <c r="AC146" s="274">
        <v>0.85</v>
      </c>
      <c r="AD146" s="275">
        <v>0.8</v>
      </c>
      <c r="AE146" s="266">
        <f>AD146-0.125</f>
        <v>0.67500000000000004</v>
      </c>
      <c r="AF146" s="266">
        <f>AE146-0.125</f>
        <v>0.55000000000000004</v>
      </c>
      <c r="AG146" s="266">
        <f>AF146-0.125</f>
        <v>0.42500000000000004</v>
      </c>
      <c r="AH146" s="105"/>
      <c r="AI146" s="105"/>
      <c r="AJ146" s="105"/>
      <c r="AK146" s="105"/>
    </row>
    <row r="147" spans="1:37">
      <c r="A147" s="7" t="s">
        <v>155</v>
      </c>
      <c r="D147" s="276">
        <f>B6*100</f>
        <v>25</v>
      </c>
      <c r="E147" s="7" t="s">
        <v>82</v>
      </c>
      <c r="L147" s="277"/>
      <c r="M147" s="231"/>
      <c r="N147" s="232"/>
      <c r="O147" s="278"/>
      <c r="R147" s="7">
        <f t="shared" ref="R147:AG147" si="17">IF(R145&gt;$O$145,R145,999)</f>
        <v>999</v>
      </c>
      <c r="S147" s="7">
        <f t="shared" si="17"/>
        <v>999</v>
      </c>
      <c r="T147" s="7">
        <f t="shared" si="17"/>
        <v>999</v>
      </c>
      <c r="U147" s="7">
        <f t="shared" si="17"/>
        <v>999</v>
      </c>
      <c r="V147" s="7">
        <f t="shared" si="17"/>
        <v>999</v>
      </c>
      <c r="W147" s="7">
        <f t="shared" si="17"/>
        <v>999</v>
      </c>
      <c r="X147" s="7">
        <f t="shared" si="17"/>
        <v>999</v>
      </c>
      <c r="Y147" s="7">
        <f t="shared" si="17"/>
        <v>999</v>
      </c>
      <c r="Z147" s="7">
        <f t="shared" si="17"/>
        <v>999</v>
      </c>
      <c r="AA147" s="7">
        <f t="shared" si="17"/>
        <v>999</v>
      </c>
      <c r="AB147" s="7">
        <f t="shared" si="17"/>
        <v>999</v>
      </c>
      <c r="AC147" s="7">
        <f t="shared" si="17"/>
        <v>26</v>
      </c>
      <c r="AD147" s="7">
        <f t="shared" si="17"/>
        <v>30</v>
      </c>
      <c r="AE147" s="7">
        <f t="shared" si="17"/>
        <v>40</v>
      </c>
      <c r="AF147" s="7">
        <f t="shared" si="17"/>
        <v>50</v>
      </c>
      <c r="AG147" s="7">
        <f t="shared" si="17"/>
        <v>60</v>
      </c>
      <c r="AH147" s="105"/>
      <c r="AI147" s="105"/>
      <c r="AJ147" s="105"/>
      <c r="AK147" s="105"/>
    </row>
    <row r="148" spans="1:37">
      <c r="A148" s="7" t="s">
        <v>159</v>
      </c>
      <c r="D148" s="276">
        <f>B7*100</f>
        <v>15</v>
      </c>
      <c r="E148" s="7" t="s">
        <v>82</v>
      </c>
      <c r="L148" s="279"/>
      <c r="M148" s="248"/>
      <c r="N148" s="249"/>
      <c r="O148" s="280"/>
      <c r="R148" s="7">
        <f t="shared" ref="R148:AG148" si="18">IF(R145&lt;$O$145,R145,0)</f>
        <v>2</v>
      </c>
      <c r="S148" s="7">
        <f t="shared" si="18"/>
        <v>3</v>
      </c>
      <c r="T148" s="7">
        <f t="shared" si="18"/>
        <v>4</v>
      </c>
      <c r="U148" s="7">
        <f t="shared" si="18"/>
        <v>5</v>
      </c>
      <c r="V148" s="7">
        <f t="shared" si="18"/>
        <v>6</v>
      </c>
      <c r="W148" s="7">
        <f t="shared" si="18"/>
        <v>8</v>
      </c>
      <c r="X148" s="7">
        <f t="shared" si="18"/>
        <v>11</v>
      </c>
      <c r="Y148" s="7">
        <f t="shared" si="18"/>
        <v>15</v>
      </c>
      <c r="Z148" s="7">
        <f t="shared" si="18"/>
        <v>18</v>
      </c>
      <c r="AA148" s="7">
        <f t="shared" si="18"/>
        <v>20</v>
      </c>
      <c r="AB148" s="7">
        <f t="shared" si="18"/>
        <v>23</v>
      </c>
      <c r="AC148" s="7">
        <f t="shared" si="18"/>
        <v>0</v>
      </c>
      <c r="AD148" s="7">
        <f t="shared" si="18"/>
        <v>0</v>
      </c>
      <c r="AE148" s="7">
        <f t="shared" si="18"/>
        <v>0</v>
      </c>
      <c r="AF148" s="7">
        <f t="shared" si="18"/>
        <v>0</v>
      </c>
      <c r="AG148" s="7">
        <f t="shared" si="18"/>
        <v>0</v>
      </c>
      <c r="AH148" s="105"/>
      <c r="AI148" s="105"/>
      <c r="AJ148" s="105"/>
      <c r="AK148" s="105"/>
    </row>
    <row r="149" spans="1:37">
      <c r="A149" s="7" t="s">
        <v>160</v>
      </c>
      <c r="D149" s="276">
        <f>B9*100</f>
        <v>450</v>
      </c>
      <c r="E149" s="7" t="s">
        <v>82</v>
      </c>
      <c r="L149" s="90"/>
      <c r="M149" s="73"/>
      <c r="N149" s="73"/>
      <c r="O149" s="73"/>
      <c r="AJ149" s="105"/>
      <c r="AK149" s="105"/>
    </row>
    <row r="150" spans="1:37">
      <c r="A150" s="7" t="s">
        <v>161</v>
      </c>
      <c r="D150" s="281">
        <f>O146</f>
        <v>0.8666666666666667</v>
      </c>
      <c r="L150" s="90"/>
      <c r="M150" s="73"/>
      <c r="N150" s="73"/>
      <c r="O150" s="73"/>
      <c r="AC150" s="105"/>
      <c r="AD150" s="105"/>
      <c r="AE150" s="105"/>
      <c r="AF150" s="105"/>
      <c r="AG150" s="105"/>
      <c r="AH150" s="105"/>
      <c r="AI150" s="105"/>
      <c r="AJ150" s="105"/>
      <c r="AK150" s="105"/>
    </row>
    <row r="151" spans="1:37">
      <c r="A151" s="7" t="s">
        <v>162</v>
      </c>
      <c r="D151" s="107">
        <f>D148*D147^3/12</f>
        <v>19531.25</v>
      </c>
      <c r="E151" s="7" t="s">
        <v>95</v>
      </c>
      <c r="L151" s="90"/>
      <c r="M151" s="73"/>
      <c r="N151" s="73"/>
      <c r="O151" s="73"/>
      <c r="AJ151" s="105"/>
      <c r="AK151" s="105"/>
    </row>
    <row r="152" spans="1:37">
      <c r="A152" s="7" t="s">
        <v>163</v>
      </c>
      <c r="D152" s="107">
        <f>D147*D148^3/12</f>
        <v>7031.25</v>
      </c>
      <c r="E152" s="7" t="s">
        <v>164</v>
      </c>
      <c r="L152" s="90"/>
      <c r="M152" s="73"/>
      <c r="N152" s="73"/>
      <c r="O152" s="73"/>
      <c r="AJ152" s="105"/>
      <c r="AK152" s="105"/>
    </row>
    <row r="153" spans="1:37">
      <c r="A153" s="7" t="s">
        <v>165</v>
      </c>
      <c r="D153" s="107">
        <f>D147*D148</f>
        <v>375</v>
      </c>
      <c r="E153" s="7" t="s">
        <v>90</v>
      </c>
      <c r="L153" s="90"/>
      <c r="M153" s="73"/>
      <c r="N153" s="73"/>
      <c r="O153" s="73"/>
      <c r="AC153" s="105"/>
      <c r="AD153" s="105"/>
      <c r="AE153" s="105"/>
      <c r="AF153" s="105"/>
      <c r="AG153" s="105"/>
      <c r="AH153" s="105"/>
      <c r="AI153" s="105"/>
      <c r="AJ153" s="105"/>
      <c r="AK153" s="105"/>
    </row>
    <row r="154" spans="1:37">
      <c r="A154" s="7" t="s">
        <v>166</v>
      </c>
      <c r="D154" s="107">
        <f>SQRT(D151/D153)</f>
        <v>7.2168783648703219</v>
      </c>
      <c r="E154" s="7" t="s">
        <v>82</v>
      </c>
      <c r="L154" s="90"/>
      <c r="M154" s="73"/>
      <c r="N154" s="73"/>
      <c r="O154" s="73"/>
      <c r="AC154" s="105"/>
      <c r="AD154" s="105"/>
      <c r="AE154" s="105"/>
      <c r="AF154" s="105"/>
      <c r="AG154" s="105"/>
      <c r="AH154" s="105"/>
      <c r="AI154" s="105"/>
      <c r="AJ154" s="105"/>
      <c r="AK154" s="105"/>
    </row>
    <row r="155" spans="1:37">
      <c r="A155" s="7" t="s">
        <v>167</v>
      </c>
      <c r="D155" s="107">
        <f>SQRT(D152/D153)</f>
        <v>4.3301270189221936</v>
      </c>
      <c r="E155" s="7" t="s">
        <v>82</v>
      </c>
      <c r="L155" s="90"/>
      <c r="M155" s="73"/>
      <c r="N155" s="73"/>
      <c r="O155" s="73"/>
      <c r="AC155" s="105"/>
      <c r="AD155" s="105"/>
      <c r="AE155" s="105"/>
      <c r="AF155" s="105"/>
      <c r="AG155" s="105"/>
      <c r="AH155" s="105"/>
      <c r="AI155" s="105"/>
      <c r="AJ155" s="105"/>
      <c r="AK155" s="105"/>
    </row>
    <row r="156" spans="1:37">
      <c r="A156" s="7" t="s">
        <v>168</v>
      </c>
      <c r="D156" s="107">
        <f>D147/D148</f>
        <v>1.6666666666666667</v>
      </c>
      <c r="E156" s="108" t="str">
        <f>IF(D156&gt;5,"&gt;5","OK&lt;5")</f>
        <v>OK&lt;5</v>
      </c>
      <c r="L156" s="90"/>
      <c r="M156" s="73"/>
      <c r="N156" s="73"/>
      <c r="O156" s="73"/>
      <c r="AC156" s="105"/>
      <c r="AD156" s="105"/>
      <c r="AE156" s="105"/>
      <c r="AF156" s="105"/>
      <c r="AG156" s="105"/>
      <c r="AH156" s="105"/>
      <c r="AI156" s="105"/>
      <c r="AJ156" s="105"/>
      <c r="AK156" s="105"/>
    </row>
    <row r="157" spans="1:37">
      <c r="A157" s="7" t="s">
        <v>169</v>
      </c>
      <c r="D157" s="107">
        <f>D149/D155</f>
        <v>103.92304845413263</v>
      </c>
      <c r="E157" s="108" t="str">
        <f>IF(D157&gt;37.5,"&gt;37.5","OK&lt;37.5")</f>
        <v>&gt;37.5</v>
      </c>
      <c r="L157" s="90"/>
      <c r="M157" s="73"/>
      <c r="N157" s="73"/>
      <c r="O157" s="73"/>
      <c r="AC157" s="105"/>
      <c r="AD157" s="105"/>
      <c r="AE157" s="105"/>
      <c r="AF157" s="105"/>
      <c r="AG157" s="105"/>
      <c r="AH157" s="105"/>
      <c r="AI157" s="105"/>
      <c r="AJ157" s="105"/>
      <c r="AK157" s="105"/>
    </row>
    <row r="158" spans="1:37">
      <c r="D158" s="107"/>
      <c r="E158" s="108" t="str">
        <f>IF(AND(D156&gt;5,D157&gt;37.5),"RISQUE DE DEVERSEMENT","SANS RISQUE DEVERSEMENT")</f>
        <v>SANS RISQUE DEVERSEMENT</v>
      </c>
      <c r="L158" s="90"/>
      <c r="M158" s="73"/>
      <c r="N158" s="73"/>
      <c r="O158" s="73"/>
      <c r="AC158" s="105"/>
      <c r="AD158" s="105"/>
      <c r="AE158" s="105"/>
      <c r="AF158" s="105"/>
      <c r="AG158" s="105"/>
      <c r="AH158" s="105"/>
      <c r="AI158" s="105"/>
      <c r="AJ158" s="105"/>
      <c r="AK158" s="105"/>
    </row>
    <row r="159" spans="1:37" ht="15.75">
      <c r="A159" s="111" t="s">
        <v>170</v>
      </c>
      <c r="L159" s="90"/>
      <c r="M159" s="73"/>
      <c r="N159" s="73"/>
      <c r="O159" s="73"/>
      <c r="W159" s="216" t="s">
        <v>171</v>
      </c>
      <c r="AC159" s="105"/>
      <c r="AD159" s="105"/>
      <c r="AE159" s="105"/>
      <c r="AF159" s="105"/>
      <c r="AG159" s="105"/>
      <c r="AH159" s="105"/>
      <c r="AI159" s="105"/>
      <c r="AJ159" s="105"/>
      <c r="AK159" s="105"/>
    </row>
    <row r="160" spans="1:37" ht="15.75">
      <c r="A160" s="7" t="s">
        <v>172</v>
      </c>
      <c r="D160" s="7">
        <f>1/3</f>
        <v>0.33333333333333331</v>
      </c>
      <c r="L160" s="90"/>
      <c r="M160" s="73"/>
      <c r="N160" s="73"/>
      <c r="O160" s="73"/>
      <c r="W160" s="216" t="s">
        <v>173</v>
      </c>
      <c r="AC160" s="105"/>
      <c r="AD160" s="105"/>
      <c r="AE160" s="105"/>
      <c r="AF160" s="105"/>
      <c r="AG160" s="105"/>
      <c r="AH160" s="105"/>
      <c r="AI160" s="105"/>
      <c r="AJ160" s="105"/>
      <c r="AK160" s="105"/>
    </row>
    <row r="161" spans="1:37">
      <c r="AC161" s="105"/>
      <c r="AD161" s="105"/>
      <c r="AE161" s="105"/>
      <c r="AF161" s="105"/>
      <c r="AG161" s="105"/>
      <c r="AH161" s="105"/>
      <c r="AI161" s="105"/>
      <c r="AJ161" s="105"/>
      <c r="AK161" s="105"/>
    </row>
    <row r="162" spans="1:37">
      <c r="A162" s="111" t="s">
        <v>174</v>
      </c>
      <c r="L162" s="219" t="s">
        <v>175</v>
      </c>
      <c r="M162" s="122" t="e">
        <f>MIN(1.5,ROUNDDOWN(O162*2,0)/2)</f>
        <v>#DIV/0!</v>
      </c>
      <c r="N162" s="124" t="e">
        <f>MIN(1.5,ROUNDUP(O162*2,0)/2)</f>
        <v>#DIV/0!</v>
      </c>
      <c r="O162" s="282" t="e">
        <f>D163/D164</f>
        <v>#DIV/0!</v>
      </c>
      <c r="Q162" s="219" t="s">
        <v>175</v>
      </c>
      <c r="R162" s="219">
        <v>0</v>
      </c>
      <c r="S162" s="270">
        <v>0.5</v>
      </c>
      <c r="T162" s="270">
        <v>1</v>
      </c>
      <c r="U162" s="220">
        <v>1.5</v>
      </c>
      <c r="AC162" s="105"/>
      <c r="AD162" s="105"/>
      <c r="AE162" s="105"/>
      <c r="AF162" s="105"/>
      <c r="AG162" s="105"/>
      <c r="AH162" s="105"/>
      <c r="AI162" s="105"/>
      <c r="AJ162" s="105"/>
      <c r="AK162" s="105"/>
    </row>
    <row r="163" spans="1:37">
      <c r="A163" s="7" t="s">
        <v>176</v>
      </c>
      <c r="D163" s="169"/>
      <c r="E163" s="7" t="s">
        <v>82</v>
      </c>
      <c r="L163" s="181">
        <v>1</v>
      </c>
      <c r="M163" s="234" t="e">
        <f>HLOOKUP(M$162,$R$162:$T$165,2,TRUE)</f>
        <v>#DIV/0!</v>
      </c>
      <c r="N163" s="236" t="e">
        <f>HLOOKUP(N$162,$R$162:$T$165,2,TRUE)</f>
        <v>#DIV/0!</v>
      </c>
      <c r="O163" s="283" t="e">
        <f>IF(M162=N162,M163,M163-(M163-N163)/(M162-N162)*(M162-O162))</f>
        <v>#DIV/0!</v>
      </c>
      <c r="Q163" s="181">
        <v>1</v>
      </c>
      <c r="R163" s="181">
        <v>1</v>
      </c>
      <c r="S163" s="52">
        <v>1.25</v>
      </c>
      <c r="T163" s="52">
        <v>1.5</v>
      </c>
      <c r="U163" s="182">
        <v>2</v>
      </c>
      <c r="AC163" s="105"/>
      <c r="AD163" s="105"/>
      <c r="AE163" s="105"/>
      <c r="AF163" s="105"/>
      <c r="AG163" s="105"/>
      <c r="AH163" s="105"/>
      <c r="AI163" s="105"/>
      <c r="AJ163" s="105"/>
      <c r="AK163" s="105"/>
    </row>
    <row r="164" spans="1:37">
      <c r="A164" s="7" t="s">
        <v>177</v>
      </c>
      <c r="D164" s="169"/>
      <c r="E164" s="7" t="s">
        <v>82</v>
      </c>
      <c r="L164" s="256">
        <v>2</v>
      </c>
      <c r="M164" s="231" t="e">
        <f>HLOOKUP(M$162,$R$162:$T$165,3,TRUE)</f>
        <v>#DIV/0!</v>
      </c>
      <c r="N164" s="232" t="e">
        <f>HLOOKUP(N$162,$R$162:$T$165,3,TRUE)</f>
        <v>#DIV/0!</v>
      </c>
      <c r="O164" s="284" t="e">
        <f>IF(M162=N162,M164,M164-(M164-N164)/(M162-N162)*(M162-O162))</f>
        <v>#DIV/0!</v>
      </c>
      <c r="Q164" s="181">
        <v>2</v>
      </c>
      <c r="R164" s="181">
        <v>1</v>
      </c>
      <c r="S164" s="52">
        <v>1.1200000000000001</v>
      </c>
      <c r="T164" s="52">
        <v>1.25</v>
      </c>
      <c r="U164" s="182">
        <v>1.5</v>
      </c>
      <c r="AC164" s="105"/>
      <c r="AD164" s="105"/>
      <c r="AE164" s="105"/>
      <c r="AF164" s="105"/>
      <c r="AG164" s="105"/>
      <c r="AH164" s="105"/>
      <c r="AI164" s="105"/>
      <c r="AJ164" s="105"/>
      <c r="AK164" s="105"/>
    </row>
    <row r="165" spans="1:37">
      <c r="A165" s="7" t="s">
        <v>178</v>
      </c>
      <c r="D165" s="169"/>
      <c r="E165" s="7" t="s">
        <v>82</v>
      </c>
      <c r="L165" s="261" t="s">
        <v>179</v>
      </c>
      <c r="M165" s="248" t="e">
        <f>HLOOKUP(M$162,$R$162:$T$165,4,TRUE)</f>
        <v>#DIV/0!</v>
      </c>
      <c r="N165" s="249" t="e">
        <f>HLOOKUP(N$162,$R$162:$T$165,4,TRUE)</f>
        <v>#DIV/0!</v>
      </c>
      <c r="O165" s="285" t="e">
        <f>IF(M162=N162,M165,M165-(M165-N165)/(M162-N162)*(M162-O162))</f>
        <v>#DIV/0!</v>
      </c>
      <c r="Q165" s="286" t="s">
        <v>179</v>
      </c>
      <c r="R165" s="286">
        <v>1</v>
      </c>
      <c r="S165" s="274">
        <v>1</v>
      </c>
      <c r="T165" s="274">
        <v>1</v>
      </c>
      <c r="U165" s="275">
        <v>1</v>
      </c>
      <c r="AC165" s="105"/>
      <c r="AD165" s="105"/>
      <c r="AE165" s="105"/>
      <c r="AF165" s="105"/>
      <c r="AG165" s="105"/>
      <c r="AH165" s="105"/>
      <c r="AI165" s="105"/>
      <c r="AJ165" s="105"/>
      <c r="AK165" s="105"/>
    </row>
    <row r="166" spans="1:37">
      <c r="A166" s="7" t="s">
        <v>180</v>
      </c>
      <c r="D166" s="287" t="e">
        <f>O166</f>
        <v>#DIV/0!</v>
      </c>
      <c r="L166" s="282" t="e">
        <f>D165/D164</f>
        <v>#DIV/0!</v>
      </c>
      <c r="M166" s="25"/>
      <c r="N166" s="288"/>
      <c r="O166" s="289" t="e">
        <f>IF(L166&lt;=1,O163,IF(L166&lt;=2,O163-(O163-O164)/1*(L166-1),IF(L166&lt;=3,O164-(O164-O165)/1*(L166-2),O165)))</f>
        <v>#DIV/0!</v>
      </c>
      <c r="AC166" s="105"/>
      <c r="AD166" s="105"/>
      <c r="AE166" s="105"/>
      <c r="AF166" s="105"/>
      <c r="AG166" s="105"/>
      <c r="AH166" s="105"/>
      <c r="AI166" s="105"/>
      <c r="AJ166" s="105"/>
      <c r="AK166" s="105"/>
    </row>
    <row r="167" spans="1:37">
      <c r="AC167" s="105"/>
      <c r="AD167" s="105"/>
      <c r="AE167" s="105"/>
      <c r="AF167" s="105"/>
      <c r="AG167" s="105"/>
      <c r="AH167" s="105"/>
      <c r="AI167" s="105"/>
      <c r="AJ167" s="105"/>
      <c r="AK167" s="105"/>
    </row>
    <row r="168" spans="1:37">
      <c r="AC168" s="105"/>
      <c r="AD168" s="105"/>
      <c r="AE168" s="105"/>
      <c r="AF168" s="105"/>
      <c r="AG168" s="105"/>
      <c r="AH168" s="105"/>
      <c r="AI168" s="105"/>
      <c r="AJ168" s="105"/>
      <c r="AK168" s="105"/>
    </row>
    <row r="169" spans="1:37">
      <c r="A169" s="111" t="s">
        <v>181</v>
      </c>
      <c r="AC169" s="105"/>
      <c r="AD169" s="105"/>
      <c r="AE169" s="105"/>
      <c r="AF169" s="105"/>
      <c r="AG169" s="105"/>
      <c r="AH169" s="105"/>
      <c r="AI169" s="105"/>
      <c r="AJ169" s="105"/>
      <c r="AK169" s="105"/>
    </row>
    <row r="170" spans="1:37">
      <c r="A170" s="7" t="s">
        <v>176</v>
      </c>
      <c r="D170" s="169"/>
      <c r="E170" s="7" t="s">
        <v>82</v>
      </c>
      <c r="AC170" s="105"/>
      <c r="AD170" s="105"/>
      <c r="AE170" s="105"/>
      <c r="AF170" s="105"/>
      <c r="AG170" s="105"/>
      <c r="AH170" s="105"/>
      <c r="AI170" s="105"/>
      <c r="AJ170" s="105"/>
      <c r="AK170" s="105"/>
    </row>
    <row r="171" spans="1:37">
      <c r="A171" s="7" t="s">
        <v>177</v>
      </c>
      <c r="D171" s="169"/>
      <c r="E171" s="7" t="s">
        <v>82</v>
      </c>
      <c r="AC171" s="105"/>
      <c r="AD171" s="105"/>
      <c r="AE171" s="105"/>
      <c r="AF171" s="105"/>
      <c r="AG171" s="105"/>
      <c r="AH171" s="105"/>
      <c r="AI171" s="105"/>
      <c r="AJ171" s="105"/>
      <c r="AK171" s="105"/>
    </row>
    <row r="172" spans="1:37">
      <c r="A172" s="7" t="s">
        <v>178</v>
      </c>
      <c r="D172" s="169"/>
      <c r="E172" s="7" t="s">
        <v>82</v>
      </c>
      <c r="AC172" s="105"/>
      <c r="AD172" s="105"/>
      <c r="AE172" s="105"/>
      <c r="AF172" s="105"/>
      <c r="AG172" s="105"/>
      <c r="AH172" s="105"/>
      <c r="AI172" s="105"/>
      <c r="AJ172" s="105"/>
      <c r="AK172" s="105"/>
    </row>
    <row r="173" spans="1:37">
      <c r="A173" s="7" t="s">
        <v>180</v>
      </c>
      <c r="D173" s="287"/>
      <c r="AC173" s="105"/>
      <c r="AD173" s="105"/>
      <c r="AE173" s="105"/>
      <c r="AF173" s="105"/>
      <c r="AG173" s="105"/>
      <c r="AH173" s="105"/>
      <c r="AI173" s="105"/>
      <c r="AJ173" s="105"/>
      <c r="AK173" s="105"/>
    </row>
    <row r="174" spans="1:37">
      <c r="AC174" s="105"/>
      <c r="AD174" s="105"/>
      <c r="AE174" s="105"/>
      <c r="AF174" s="105"/>
      <c r="AG174" s="105"/>
      <c r="AH174" s="105"/>
      <c r="AI174" s="105"/>
      <c r="AJ174" s="105"/>
      <c r="AK174" s="105"/>
    </row>
    <row r="175" spans="1:37">
      <c r="AC175" s="105"/>
      <c r="AD175" s="105"/>
      <c r="AE175" s="105"/>
      <c r="AF175" s="105"/>
      <c r="AG175" s="105"/>
      <c r="AH175" s="105"/>
      <c r="AI175" s="105"/>
      <c r="AJ175" s="105"/>
      <c r="AK175" s="105"/>
    </row>
    <row r="176" spans="1:37">
      <c r="A176" s="111" t="s">
        <v>182</v>
      </c>
      <c r="AC176" s="105"/>
      <c r="AD176" s="105"/>
      <c r="AE176" s="105"/>
      <c r="AF176" s="105"/>
      <c r="AG176" s="105"/>
      <c r="AH176" s="105"/>
      <c r="AI176" s="105"/>
      <c r="AJ176" s="105"/>
      <c r="AK176" s="105"/>
    </row>
    <row r="177" spans="1:37">
      <c r="A177" s="7" t="s">
        <v>176</v>
      </c>
      <c r="D177" s="169"/>
      <c r="E177" s="7" t="s">
        <v>82</v>
      </c>
      <c r="AC177" s="105"/>
      <c r="AD177" s="105"/>
      <c r="AE177" s="105"/>
      <c r="AF177" s="105"/>
      <c r="AG177" s="105"/>
      <c r="AH177" s="105"/>
      <c r="AI177" s="105"/>
      <c r="AJ177" s="105"/>
      <c r="AK177" s="105"/>
    </row>
    <row r="178" spans="1:37">
      <c r="A178" s="7" t="s">
        <v>177</v>
      </c>
      <c r="D178" s="169"/>
      <c r="E178" s="7" t="s">
        <v>82</v>
      </c>
      <c r="AC178" s="105"/>
      <c r="AD178" s="105"/>
      <c r="AE178" s="105"/>
      <c r="AF178" s="105"/>
      <c r="AG178" s="105"/>
      <c r="AH178" s="105"/>
      <c r="AI178" s="105"/>
      <c r="AJ178" s="105"/>
      <c r="AK178" s="105"/>
    </row>
    <row r="179" spans="1:37">
      <c r="A179" s="7" t="s">
        <v>178</v>
      </c>
      <c r="D179" s="169"/>
      <c r="E179" s="7" t="s">
        <v>82</v>
      </c>
      <c r="AC179" s="105"/>
      <c r="AD179" s="105"/>
      <c r="AE179" s="105"/>
      <c r="AF179" s="105"/>
      <c r="AG179" s="105"/>
      <c r="AH179" s="105"/>
      <c r="AI179" s="105"/>
      <c r="AJ179" s="105"/>
      <c r="AK179" s="105"/>
    </row>
    <row r="180" spans="1:37">
      <c r="A180" s="7" t="s">
        <v>180</v>
      </c>
      <c r="D180" s="287"/>
      <c r="AC180" s="105"/>
      <c r="AD180" s="105"/>
      <c r="AE180" s="105"/>
      <c r="AF180" s="105"/>
      <c r="AG180" s="105"/>
      <c r="AH180" s="105"/>
      <c r="AI180" s="105"/>
      <c r="AJ180" s="105"/>
      <c r="AK180" s="105"/>
    </row>
    <row r="181" spans="1:37">
      <c r="AC181" s="105"/>
      <c r="AD181" s="105"/>
      <c r="AE181" s="105"/>
      <c r="AF181" s="105"/>
      <c r="AG181" s="105"/>
      <c r="AH181" s="105"/>
      <c r="AI181" s="105"/>
      <c r="AJ181" s="105"/>
      <c r="AK181" s="105"/>
    </row>
    <row r="182" spans="1:37">
      <c r="A182" s="111" t="s">
        <v>183</v>
      </c>
      <c r="AC182" s="105"/>
      <c r="AD182" s="105"/>
      <c r="AE182" s="105"/>
      <c r="AF182" s="105"/>
      <c r="AG182" s="105"/>
      <c r="AH182" s="105"/>
      <c r="AI182" s="105"/>
      <c r="AJ182" s="105"/>
      <c r="AK182" s="105"/>
    </row>
    <row r="183" spans="1:37">
      <c r="A183" s="7" t="s">
        <v>176</v>
      </c>
      <c r="D183" s="169"/>
      <c r="E183" s="7" t="s">
        <v>82</v>
      </c>
      <c r="AC183" s="105"/>
      <c r="AD183" s="105"/>
      <c r="AE183" s="105"/>
      <c r="AF183" s="105"/>
      <c r="AG183" s="105"/>
      <c r="AH183" s="105"/>
      <c r="AI183" s="105"/>
      <c r="AJ183" s="105"/>
      <c r="AK183" s="105"/>
    </row>
    <row r="184" spans="1:37">
      <c r="A184" s="7" t="s">
        <v>177</v>
      </c>
      <c r="D184" s="169"/>
      <c r="E184" s="7" t="s">
        <v>82</v>
      </c>
      <c r="AC184" s="105"/>
      <c r="AD184" s="105"/>
      <c r="AE184" s="105"/>
      <c r="AF184" s="105"/>
      <c r="AG184" s="105"/>
      <c r="AH184" s="105"/>
      <c r="AI184" s="105"/>
      <c r="AJ184" s="105"/>
      <c r="AK184" s="105"/>
    </row>
    <row r="185" spans="1:37">
      <c r="A185" s="7" t="s">
        <v>178</v>
      </c>
      <c r="D185" s="169"/>
      <c r="E185" s="7" t="s">
        <v>82</v>
      </c>
      <c r="AC185" s="105"/>
      <c r="AD185" s="105"/>
      <c r="AE185" s="105"/>
      <c r="AF185" s="105"/>
      <c r="AG185" s="105"/>
      <c r="AH185" s="105"/>
      <c r="AI185" s="105"/>
      <c r="AJ185" s="105"/>
      <c r="AK185" s="105"/>
    </row>
    <row r="186" spans="1:37">
      <c r="A186" s="7" t="s">
        <v>180</v>
      </c>
      <c r="D186" s="287"/>
      <c r="AC186" s="105"/>
      <c r="AD186" s="105"/>
      <c r="AE186" s="105"/>
      <c r="AF186" s="105"/>
      <c r="AG186" s="105"/>
      <c r="AH186" s="105"/>
      <c r="AI186" s="105"/>
      <c r="AJ186" s="105"/>
      <c r="AK186" s="105"/>
    </row>
    <row r="187" spans="1:37">
      <c r="AC187" s="105"/>
      <c r="AD187" s="105"/>
      <c r="AE187" s="105"/>
      <c r="AF187" s="105"/>
      <c r="AG187" s="105"/>
      <c r="AH187" s="105"/>
      <c r="AI187" s="105"/>
      <c r="AJ187" s="105"/>
      <c r="AK187" s="105"/>
    </row>
    <row r="188" spans="1:37">
      <c r="A188" s="111" t="s">
        <v>184</v>
      </c>
      <c r="AC188" s="105"/>
      <c r="AD188" s="105"/>
      <c r="AE188" s="105"/>
      <c r="AF188" s="105"/>
      <c r="AG188" s="105"/>
      <c r="AH188" s="105"/>
      <c r="AI188" s="105"/>
      <c r="AJ188" s="105"/>
      <c r="AK188" s="105"/>
    </row>
    <row r="189" spans="1:37">
      <c r="A189" s="7" t="s">
        <v>176</v>
      </c>
      <c r="D189" s="169"/>
      <c r="E189" s="7" t="s">
        <v>82</v>
      </c>
      <c r="AC189" s="105"/>
      <c r="AD189" s="105"/>
      <c r="AE189" s="105"/>
      <c r="AF189" s="105"/>
      <c r="AG189" s="105"/>
      <c r="AH189" s="105"/>
      <c r="AI189" s="105"/>
      <c r="AJ189" s="105"/>
      <c r="AK189" s="105"/>
    </row>
    <row r="190" spans="1:37">
      <c r="A190" s="7" t="s">
        <v>177</v>
      </c>
      <c r="D190" s="169"/>
      <c r="E190" s="7" t="s">
        <v>82</v>
      </c>
      <c r="AC190" s="105"/>
      <c r="AD190" s="105"/>
      <c r="AE190" s="105"/>
      <c r="AF190" s="105"/>
      <c r="AG190" s="105"/>
      <c r="AH190" s="105"/>
      <c r="AI190" s="105"/>
      <c r="AJ190" s="105"/>
      <c r="AK190" s="105"/>
    </row>
    <row r="191" spans="1:37">
      <c r="A191" s="7" t="s">
        <v>178</v>
      </c>
      <c r="D191" s="169"/>
      <c r="E191" s="7" t="s">
        <v>82</v>
      </c>
      <c r="AC191" s="105"/>
      <c r="AD191" s="105"/>
      <c r="AE191" s="105"/>
      <c r="AF191" s="105"/>
      <c r="AG191" s="105"/>
      <c r="AH191" s="105"/>
      <c r="AI191" s="105"/>
      <c r="AJ191" s="105"/>
      <c r="AK191" s="105"/>
    </row>
    <row r="192" spans="1:37">
      <c r="A192" s="7" t="s">
        <v>180</v>
      </c>
      <c r="D192" s="287"/>
      <c r="AC192" s="105"/>
      <c r="AD192" s="105"/>
      <c r="AE192" s="105"/>
      <c r="AF192" s="105"/>
      <c r="AG192" s="105"/>
      <c r="AH192" s="105"/>
      <c r="AI192" s="105"/>
      <c r="AJ192" s="105"/>
      <c r="AK192" s="105"/>
    </row>
    <row r="193" spans="1:37">
      <c r="AC193" s="105"/>
      <c r="AD193" s="105"/>
      <c r="AE193" s="105"/>
      <c r="AF193" s="105"/>
      <c r="AG193" s="105"/>
      <c r="AH193" s="105"/>
      <c r="AI193" s="105"/>
      <c r="AJ193" s="105"/>
      <c r="AK193" s="105"/>
    </row>
    <row r="194" spans="1:37">
      <c r="A194" s="111" t="s">
        <v>185</v>
      </c>
      <c r="AC194" s="105"/>
      <c r="AD194" s="105"/>
      <c r="AE194" s="105"/>
      <c r="AF194" s="105"/>
      <c r="AG194" s="105"/>
      <c r="AH194" s="105"/>
      <c r="AI194" s="105"/>
      <c r="AJ194" s="105"/>
      <c r="AK194" s="105"/>
    </row>
    <row r="195" spans="1:37">
      <c r="A195" s="7" t="s">
        <v>186</v>
      </c>
      <c r="D195" s="169">
        <v>90</v>
      </c>
      <c r="E195" s="7" t="s">
        <v>90</v>
      </c>
      <c r="AC195" s="105"/>
      <c r="AD195" s="105"/>
      <c r="AE195" s="105"/>
      <c r="AF195" s="105"/>
      <c r="AG195" s="105"/>
      <c r="AH195" s="105"/>
      <c r="AI195" s="105"/>
      <c r="AJ195" s="105"/>
      <c r="AK195" s="105"/>
    </row>
    <row r="196" spans="1:37">
      <c r="A196" s="7" t="s">
        <v>180</v>
      </c>
      <c r="D196" s="287">
        <f>IF(D195&lt;50,0,IF(D195&lt;100,(D195-50)/50,1))</f>
        <v>0.8</v>
      </c>
      <c r="AC196" s="105"/>
      <c r="AD196" s="105"/>
      <c r="AE196" s="105"/>
      <c r="AF196" s="105"/>
      <c r="AG196" s="105"/>
      <c r="AH196" s="105"/>
      <c r="AI196" s="105"/>
      <c r="AJ196" s="105"/>
      <c r="AK196" s="105"/>
    </row>
    <row r="197" spans="1:37">
      <c r="AC197" s="105"/>
      <c r="AD197" s="105"/>
      <c r="AE197" s="105"/>
      <c r="AF197" s="105"/>
      <c r="AG197" s="105"/>
      <c r="AH197" s="105"/>
      <c r="AI197" s="105"/>
      <c r="AJ197" s="105"/>
      <c r="AK197" s="105"/>
    </row>
    <row r="198" spans="1:37">
      <c r="A198" s="111" t="s">
        <v>187</v>
      </c>
      <c r="AC198" s="105"/>
      <c r="AD198" s="105"/>
      <c r="AE198" s="105"/>
      <c r="AF198" s="105"/>
      <c r="AG198" s="105"/>
      <c r="AH198" s="105"/>
      <c r="AI198" s="105"/>
      <c r="AJ198" s="105"/>
      <c r="AK198" s="105"/>
    </row>
    <row r="199" spans="1:37">
      <c r="A199" s="7" t="s">
        <v>188</v>
      </c>
      <c r="D199" s="55"/>
      <c r="E199" s="55"/>
      <c r="AC199" s="105"/>
      <c r="AD199" s="105"/>
      <c r="AE199" s="105"/>
      <c r="AF199" s="105"/>
      <c r="AG199" s="105"/>
      <c r="AH199" s="105"/>
      <c r="AI199" s="105"/>
      <c r="AJ199" s="105"/>
      <c r="AK199" s="105"/>
    </row>
    <row r="200" spans="1:37">
      <c r="D200" s="290"/>
      <c r="E200" s="55"/>
      <c r="AC200" s="105"/>
      <c r="AD200" s="105"/>
      <c r="AE200" s="105"/>
      <c r="AF200" s="105"/>
      <c r="AG200" s="105"/>
      <c r="AH200" s="105"/>
      <c r="AI200" s="105"/>
      <c r="AJ200" s="105"/>
      <c r="AK200" s="105"/>
    </row>
    <row r="201" spans="1:37">
      <c r="AC201" s="105"/>
      <c r="AD201" s="105"/>
      <c r="AE201" s="105"/>
      <c r="AF201" s="105"/>
      <c r="AG201" s="105"/>
      <c r="AH201" s="105"/>
      <c r="AI201" s="105"/>
      <c r="AJ201" s="105"/>
      <c r="AK201" s="105"/>
    </row>
    <row r="202" spans="1:37">
      <c r="AC202" s="105"/>
      <c r="AD202" s="105"/>
      <c r="AE202" s="105"/>
      <c r="AF202" s="105"/>
      <c r="AG202" s="105"/>
      <c r="AH202" s="105"/>
      <c r="AI202" s="105"/>
      <c r="AJ202" s="105"/>
      <c r="AK202" s="105"/>
    </row>
    <row r="203" spans="1:37">
      <c r="A203" s="111" t="s">
        <v>189</v>
      </c>
      <c r="D203" s="7" t="s">
        <v>3</v>
      </c>
      <c r="AC203" s="105"/>
      <c r="AD203" s="105"/>
      <c r="AE203" s="105"/>
      <c r="AF203" s="105"/>
      <c r="AG203" s="105"/>
      <c r="AH203" s="105"/>
      <c r="AI203" s="105"/>
      <c r="AJ203" s="105"/>
      <c r="AK203" s="105"/>
    </row>
    <row r="204" spans="1:37">
      <c r="A204" s="7" t="s">
        <v>190</v>
      </c>
      <c r="D204" s="276">
        <f>B6*100</f>
        <v>25</v>
      </c>
      <c r="E204" s="7" t="s">
        <v>82</v>
      </c>
      <c r="G204" s="276">
        <f>B7*100</f>
        <v>15</v>
      </c>
      <c r="H204" s="7" t="s">
        <v>82</v>
      </c>
      <c r="AC204" s="105"/>
      <c r="AD204" s="105"/>
      <c r="AE204" s="105"/>
      <c r="AF204" s="105"/>
      <c r="AG204" s="105"/>
      <c r="AH204" s="105"/>
      <c r="AI204" s="105"/>
      <c r="AJ204" s="105"/>
      <c r="AK204" s="105"/>
    </row>
    <row r="205" spans="1:37">
      <c r="A205" s="7" t="s">
        <v>191</v>
      </c>
      <c r="D205" s="276">
        <f>B9*100</f>
        <v>450</v>
      </c>
      <c r="E205" s="7" t="s">
        <v>82</v>
      </c>
      <c r="G205" s="276">
        <f>D205</f>
        <v>450</v>
      </c>
      <c r="H205" s="7" t="s">
        <v>82</v>
      </c>
      <c r="AC205" s="105"/>
      <c r="AD205" s="105"/>
      <c r="AE205" s="105"/>
      <c r="AF205" s="105"/>
      <c r="AG205" s="105"/>
      <c r="AH205" s="105"/>
      <c r="AI205" s="105"/>
      <c r="AJ205" s="105"/>
      <c r="AK205" s="105"/>
    </row>
    <row r="206" spans="1:37">
      <c r="A206" s="7" t="s">
        <v>192</v>
      </c>
      <c r="D206" s="276">
        <v>1</v>
      </c>
      <c r="G206" s="276">
        <v>1</v>
      </c>
      <c r="AC206" s="105"/>
      <c r="AD206" s="105"/>
      <c r="AE206" s="105"/>
      <c r="AF206" s="105"/>
      <c r="AG206" s="105"/>
      <c r="AH206" s="105"/>
      <c r="AI206" s="105"/>
      <c r="AJ206" s="105"/>
      <c r="AK206" s="105"/>
    </row>
    <row r="207" spans="1:37">
      <c r="A207" s="7" t="s">
        <v>193</v>
      </c>
      <c r="B207" s="55"/>
      <c r="C207" s="55"/>
      <c r="D207" s="281">
        <f>D206*D205</f>
        <v>450</v>
      </c>
      <c r="E207" s="7" t="s">
        <v>82</v>
      </c>
      <c r="G207" s="281">
        <f>G206*G205</f>
        <v>450</v>
      </c>
      <c r="H207" s="7" t="s">
        <v>82</v>
      </c>
      <c r="AC207" s="105"/>
      <c r="AD207" s="105"/>
      <c r="AE207" s="105"/>
      <c r="AF207" s="105"/>
      <c r="AG207" s="105"/>
      <c r="AH207" s="105"/>
      <c r="AI207" s="105"/>
      <c r="AJ207" s="105"/>
      <c r="AK207" s="105"/>
    </row>
    <row r="208" spans="1:37">
      <c r="A208" s="7" t="s">
        <v>194</v>
      </c>
      <c r="D208" s="291">
        <f>G204*D204^3/12</f>
        <v>19531.25</v>
      </c>
      <c r="E208" s="7" t="s">
        <v>95</v>
      </c>
      <c r="G208" s="291">
        <f>D204*G204^3/12</f>
        <v>7031.25</v>
      </c>
      <c r="H208" s="7" t="s">
        <v>95</v>
      </c>
      <c r="I208" s="7">
        <f>G204/100*(D204/100)^2/6</f>
        <v>1.5624999999999999E-3</v>
      </c>
      <c r="AC208" s="105"/>
      <c r="AD208" s="105"/>
      <c r="AE208" s="105"/>
      <c r="AF208" s="105"/>
      <c r="AG208" s="105"/>
      <c r="AH208" s="105"/>
      <c r="AI208" s="105"/>
      <c r="AJ208" s="105"/>
      <c r="AK208" s="105"/>
    </row>
    <row r="209" spans="1:37">
      <c r="A209" s="7" t="s">
        <v>165</v>
      </c>
      <c r="D209" s="107">
        <f>D204*G204</f>
        <v>375</v>
      </c>
      <c r="E209" s="7" t="s">
        <v>90</v>
      </c>
      <c r="G209" s="107">
        <f>D204*G204</f>
        <v>375</v>
      </c>
      <c r="H209" s="7" t="s">
        <v>90</v>
      </c>
      <c r="I209" s="7">
        <f>B48*10^(-3)/I208</f>
        <v>6.7493250000000007</v>
      </c>
      <c r="AC209" s="105"/>
      <c r="AD209" s="105"/>
      <c r="AE209" s="105"/>
      <c r="AF209" s="105"/>
      <c r="AG209" s="105"/>
      <c r="AH209" s="105"/>
      <c r="AI209" s="105"/>
      <c r="AJ209" s="105"/>
      <c r="AK209" s="105"/>
    </row>
    <row r="210" spans="1:37">
      <c r="A210" s="7" t="s">
        <v>195</v>
      </c>
      <c r="D210" s="107">
        <f>SQRT(D208/D209)</f>
        <v>7.2168783648703219</v>
      </c>
      <c r="E210" s="7" t="s">
        <v>82</v>
      </c>
      <c r="G210" s="107">
        <f>SQRT(G208/G209)</f>
        <v>4.3301270189221936</v>
      </c>
      <c r="H210" s="7" t="s">
        <v>82</v>
      </c>
      <c r="AC210" s="105"/>
      <c r="AD210" s="105"/>
      <c r="AE210" s="105"/>
      <c r="AF210" s="105"/>
      <c r="AG210" s="105"/>
      <c r="AH210" s="105"/>
      <c r="AI210" s="105"/>
      <c r="AJ210" s="105"/>
      <c r="AK210" s="105"/>
    </row>
    <row r="211" spans="1:37">
      <c r="A211" s="7" t="s">
        <v>196</v>
      </c>
      <c r="D211" s="292">
        <f>D207/D210</f>
        <v>62.353829072479584</v>
      </c>
      <c r="E211" s="108"/>
      <c r="F211" s="108"/>
      <c r="G211" s="292">
        <f>G207/G210</f>
        <v>103.92304845413263</v>
      </c>
      <c r="AC211" s="105"/>
      <c r="AD211" s="105"/>
      <c r="AE211" s="105"/>
      <c r="AF211" s="105"/>
      <c r="AG211" s="105"/>
      <c r="AH211" s="105"/>
      <c r="AI211" s="105"/>
      <c r="AJ211" s="105"/>
      <c r="AK211" s="105"/>
    </row>
    <row r="212" spans="1:37">
      <c r="A212" s="7" t="s">
        <v>197</v>
      </c>
      <c r="D212" s="291">
        <f>L123</f>
        <v>111637.80721601441</v>
      </c>
      <c r="E212" s="7" t="s">
        <v>198</v>
      </c>
      <c r="G212" s="291">
        <f>D212</f>
        <v>111637.80721601441</v>
      </c>
      <c r="H212" s="7" t="s">
        <v>198</v>
      </c>
      <c r="AC212" s="105"/>
      <c r="AD212" s="105"/>
      <c r="AE212" s="105"/>
      <c r="AF212" s="105"/>
      <c r="AG212" s="105"/>
      <c r="AH212" s="105"/>
      <c r="AI212" s="105"/>
      <c r="AJ212" s="105"/>
      <c r="AK212" s="105"/>
    </row>
    <row r="213" spans="1:37" ht="14.25">
      <c r="A213" s="293" t="s">
        <v>199</v>
      </c>
      <c r="B213" s="29"/>
      <c r="D213" s="7">
        <f>C123</f>
        <v>103</v>
      </c>
      <c r="G213" s="7">
        <f>D213</f>
        <v>103</v>
      </c>
      <c r="AC213" s="105"/>
      <c r="AD213" s="105"/>
      <c r="AE213" s="105"/>
      <c r="AF213" s="105"/>
      <c r="AG213" s="105"/>
      <c r="AH213" s="105"/>
      <c r="AI213" s="105"/>
      <c r="AJ213" s="105"/>
      <c r="AK213" s="105"/>
    </row>
    <row r="214" spans="1:37">
      <c r="A214" s="7" t="s">
        <v>200</v>
      </c>
      <c r="D214" s="287">
        <f>IF(D211&lt;=37.5,1,IF(D211&lt;=75,1.45-1.2*D211/100,IF(D211&lt;=120,3100/D211^2,IF(D211&lt;=180,PI()^2*D212*D208/2.75/D207^2,10^-2))))</f>
        <v>0.70175405113024492</v>
      </c>
      <c r="E214" s="214"/>
      <c r="F214" s="214"/>
      <c r="G214" s="287">
        <f>IF(G211&lt;=37.5,1,IF(G211&lt;=75,1.45-1.2*G211/100,IF(G211&lt;=120,3100/G211^2,IF(G211&lt;=180,(PI()^2*G212*G208/2.75/G207^2/G207)/G211,10^-2))))</f>
        <v>0.28703703703703709</v>
      </c>
      <c r="AC214" s="105"/>
      <c r="AD214" s="105"/>
      <c r="AE214" s="105"/>
      <c r="AF214" s="105"/>
      <c r="AG214" s="105"/>
      <c r="AH214" s="105"/>
      <c r="AI214" s="105"/>
      <c r="AJ214" s="105"/>
      <c r="AK214" s="105"/>
    </row>
    <row r="215" spans="1:37">
      <c r="D215" s="107"/>
      <c r="E215" s="108"/>
      <c r="AC215" s="105"/>
      <c r="AD215" s="105"/>
      <c r="AE215" s="105"/>
      <c r="AF215" s="105"/>
      <c r="AG215" s="105"/>
      <c r="AH215" s="105"/>
      <c r="AI215" s="105"/>
      <c r="AJ215" s="105"/>
      <c r="AK215" s="105"/>
    </row>
    <row r="216" spans="1:37">
      <c r="AC216" s="105"/>
      <c r="AD216" s="105"/>
      <c r="AE216" s="105"/>
      <c r="AF216" s="105"/>
      <c r="AG216" s="105"/>
      <c r="AH216" s="105"/>
      <c r="AI216" s="105"/>
      <c r="AJ216" s="105"/>
      <c r="AK216" s="105"/>
    </row>
    <row r="217" spans="1:37">
      <c r="AC217" s="105"/>
      <c r="AD217" s="105"/>
      <c r="AE217" s="105"/>
      <c r="AF217" s="105"/>
      <c r="AG217" s="105"/>
      <c r="AH217" s="105"/>
      <c r="AI217" s="105"/>
      <c r="AJ217" s="105"/>
      <c r="AK217" s="105"/>
    </row>
    <row r="218" spans="1:37">
      <c r="AC218" s="105"/>
      <c r="AD218" s="105"/>
      <c r="AE218" s="105"/>
      <c r="AF218" s="105"/>
      <c r="AG218" s="105"/>
      <c r="AH218" s="105"/>
      <c r="AI218" s="105"/>
      <c r="AJ218" s="105"/>
      <c r="AK218" s="105"/>
    </row>
    <row r="219" spans="1:37">
      <c r="AC219" s="105"/>
      <c r="AD219" s="105"/>
      <c r="AE219" s="105"/>
      <c r="AF219" s="105"/>
      <c r="AG219" s="105"/>
      <c r="AH219" s="105"/>
      <c r="AI219" s="105"/>
      <c r="AJ219" s="105"/>
      <c r="AK219" s="105"/>
    </row>
    <row r="220" spans="1:37">
      <c r="AC220" s="105"/>
      <c r="AD220" s="105"/>
      <c r="AE220" s="105"/>
      <c r="AF220" s="105"/>
      <c r="AG220" s="105"/>
      <c r="AH220" s="105"/>
      <c r="AI220" s="105"/>
      <c r="AJ220" s="105"/>
      <c r="AK220" s="105"/>
    </row>
    <row r="221" spans="1:37">
      <c r="AC221" s="105"/>
      <c r="AD221" s="105"/>
      <c r="AE221" s="105"/>
      <c r="AF221" s="105"/>
      <c r="AG221" s="105"/>
      <c r="AH221" s="105"/>
      <c r="AI221" s="105"/>
      <c r="AJ221" s="105"/>
      <c r="AK221" s="105"/>
    </row>
    <row r="222" spans="1:37">
      <c r="AC222" s="105"/>
      <c r="AD222" s="105"/>
      <c r="AE222" s="105"/>
      <c r="AF222" s="105"/>
      <c r="AG222" s="105"/>
      <c r="AH222" s="105"/>
      <c r="AI222" s="105"/>
      <c r="AJ222" s="105"/>
      <c r="AK222" s="105"/>
    </row>
    <row r="223" spans="1:37">
      <c r="AC223" s="105"/>
      <c r="AD223" s="105"/>
      <c r="AE223" s="105"/>
      <c r="AF223" s="105"/>
      <c r="AG223" s="105"/>
      <c r="AH223" s="105"/>
      <c r="AI223" s="105"/>
      <c r="AJ223" s="105"/>
      <c r="AK223" s="105"/>
    </row>
    <row r="224" spans="1:37">
      <c r="AC224" s="105"/>
      <c r="AD224" s="105"/>
      <c r="AE224" s="105"/>
      <c r="AF224" s="105"/>
      <c r="AG224" s="105"/>
      <c r="AH224" s="105"/>
      <c r="AI224" s="105"/>
      <c r="AJ224" s="105"/>
      <c r="AK224" s="105"/>
    </row>
    <row r="225" spans="8:37" ht="15.75">
      <c r="I225" s="195"/>
      <c r="J225" s="195"/>
      <c r="AC225" s="105"/>
      <c r="AD225" s="105"/>
      <c r="AE225" s="105"/>
      <c r="AF225" s="105"/>
      <c r="AG225" s="105"/>
      <c r="AH225" s="105"/>
      <c r="AI225" s="105"/>
      <c r="AJ225" s="105"/>
      <c r="AK225" s="105"/>
    </row>
    <row r="226" spans="8:37" ht="15.75">
      <c r="I226" s="195"/>
      <c r="J226" s="195"/>
      <c r="AC226" s="105"/>
      <c r="AD226" s="105"/>
      <c r="AE226" s="105"/>
      <c r="AF226" s="105"/>
      <c r="AG226" s="105"/>
      <c r="AH226" s="105"/>
      <c r="AI226" s="105"/>
      <c r="AJ226" s="105"/>
      <c r="AK226" s="105"/>
    </row>
    <row r="227" spans="8:37" ht="15.75">
      <c r="I227" s="195"/>
      <c r="J227" s="195"/>
      <c r="AC227" s="105"/>
      <c r="AD227" s="105"/>
      <c r="AE227" s="105"/>
      <c r="AF227" s="105"/>
      <c r="AG227" s="105"/>
      <c r="AH227" s="105"/>
      <c r="AI227" s="105"/>
      <c r="AJ227" s="105"/>
      <c r="AK227" s="105"/>
    </row>
    <row r="228" spans="8:37" ht="15.75">
      <c r="H228" s="195"/>
      <c r="I228" s="195"/>
      <c r="J228" s="195"/>
      <c r="AC228" s="105"/>
      <c r="AD228" s="105"/>
      <c r="AE228" s="105"/>
      <c r="AF228" s="105"/>
      <c r="AG228" s="105"/>
      <c r="AH228" s="105"/>
      <c r="AI228" s="105"/>
      <c r="AJ228" s="105"/>
      <c r="AK228" s="105"/>
    </row>
    <row r="229" spans="8:37" ht="15.75">
      <c r="H229" s="195"/>
      <c r="I229" s="195"/>
      <c r="J229" s="195"/>
      <c r="AC229" s="105"/>
      <c r="AD229" s="105"/>
      <c r="AE229" s="105"/>
      <c r="AF229" s="105"/>
      <c r="AG229" s="105"/>
      <c r="AH229" s="105"/>
      <c r="AI229" s="105"/>
      <c r="AJ229" s="105"/>
      <c r="AK229" s="105"/>
    </row>
    <row r="230" spans="8:37" ht="15.75">
      <c r="H230" s="195"/>
      <c r="I230" s="195"/>
      <c r="J230" s="195"/>
      <c r="AC230" s="105"/>
      <c r="AD230" s="105"/>
      <c r="AE230" s="105"/>
      <c r="AF230" s="105"/>
      <c r="AG230" s="105"/>
      <c r="AH230" s="105"/>
      <c r="AI230" s="105"/>
      <c r="AJ230" s="105"/>
      <c r="AK230" s="105"/>
    </row>
    <row r="231" spans="8:37" ht="15.75">
      <c r="H231" s="195"/>
      <c r="I231" s="195"/>
      <c r="J231" s="195"/>
      <c r="AC231" s="105"/>
      <c r="AD231" s="105"/>
      <c r="AE231" s="105"/>
      <c r="AF231" s="105"/>
      <c r="AG231" s="105"/>
      <c r="AH231" s="105"/>
      <c r="AI231" s="105"/>
      <c r="AJ231" s="105"/>
      <c r="AK231" s="105"/>
    </row>
    <row r="232" spans="8:37" ht="15.75">
      <c r="H232" s="195"/>
      <c r="I232" s="195"/>
      <c r="J232" s="195"/>
      <c r="AC232" s="105"/>
      <c r="AD232" s="105"/>
      <c r="AE232" s="105"/>
      <c r="AF232" s="105"/>
      <c r="AG232" s="105"/>
      <c r="AH232" s="105"/>
      <c r="AI232" s="105"/>
      <c r="AJ232" s="105"/>
      <c r="AK232" s="105"/>
    </row>
    <row r="233" spans="8:37" ht="15.75">
      <c r="H233" s="195"/>
      <c r="I233" s="195"/>
      <c r="J233" s="195"/>
      <c r="AC233" s="105"/>
      <c r="AD233" s="105"/>
      <c r="AE233" s="105"/>
      <c r="AF233" s="105"/>
      <c r="AG233" s="105"/>
      <c r="AH233" s="105"/>
      <c r="AI233" s="105"/>
      <c r="AJ233" s="105"/>
      <c r="AK233" s="105"/>
    </row>
    <row r="234" spans="8:37">
      <c r="AC234" s="105"/>
      <c r="AD234" s="105"/>
      <c r="AE234" s="105"/>
      <c r="AF234" s="105"/>
      <c r="AG234" s="105"/>
      <c r="AH234" s="105"/>
      <c r="AI234" s="105"/>
      <c r="AJ234" s="105"/>
      <c r="AK234" s="105"/>
    </row>
    <row r="235" spans="8:37">
      <c r="AC235" s="105"/>
      <c r="AD235" s="105"/>
      <c r="AE235" s="105"/>
      <c r="AF235" s="105"/>
      <c r="AG235" s="105"/>
      <c r="AH235" s="105"/>
      <c r="AI235" s="105"/>
      <c r="AJ235" s="105"/>
      <c r="AK235" s="105"/>
    </row>
    <row r="236" spans="8:37">
      <c r="AC236" s="105"/>
      <c r="AD236" s="105"/>
      <c r="AE236" s="105"/>
      <c r="AF236" s="105"/>
      <c r="AG236" s="105"/>
      <c r="AH236" s="105"/>
      <c r="AI236" s="105"/>
      <c r="AJ236" s="105"/>
      <c r="AK236" s="105"/>
    </row>
    <row r="237" spans="8:37">
      <c r="AC237" s="105"/>
      <c r="AD237" s="105"/>
      <c r="AE237" s="105"/>
      <c r="AF237" s="105"/>
      <c r="AG237" s="105"/>
      <c r="AH237" s="105"/>
      <c r="AI237" s="105"/>
      <c r="AJ237" s="105"/>
      <c r="AK237" s="105"/>
    </row>
    <row r="238" spans="8:37">
      <c r="AC238" s="105"/>
      <c r="AD238" s="105"/>
      <c r="AE238" s="105"/>
      <c r="AF238" s="105"/>
      <c r="AG238" s="105"/>
      <c r="AH238" s="105"/>
      <c r="AI238" s="105"/>
      <c r="AJ238" s="105"/>
      <c r="AK238" s="105"/>
    </row>
    <row r="239" spans="8:37">
      <c r="AC239" s="105"/>
      <c r="AD239" s="105"/>
      <c r="AE239" s="105"/>
      <c r="AF239" s="105"/>
      <c r="AG239" s="105"/>
      <c r="AH239" s="105"/>
      <c r="AI239" s="105"/>
      <c r="AJ239" s="105"/>
      <c r="AK239" s="105"/>
    </row>
    <row r="240" spans="8:37">
      <c r="AC240" s="105"/>
      <c r="AD240" s="105"/>
      <c r="AE240" s="105"/>
      <c r="AF240" s="105"/>
      <c r="AG240" s="105"/>
      <c r="AH240" s="105"/>
      <c r="AI240" s="105"/>
      <c r="AJ240" s="105"/>
      <c r="AK240" s="105"/>
    </row>
    <row r="241" spans="29:37">
      <c r="AC241" s="105"/>
      <c r="AD241" s="105"/>
      <c r="AE241" s="105"/>
      <c r="AF241" s="105"/>
      <c r="AG241" s="105"/>
      <c r="AH241" s="105"/>
      <c r="AI241" s="105"/>
      <c r="AJ241" s="105"/>
      <c r="AK241" s="105"/>
    </row>
    <row r="242" spans="29:37">
      <c r="AC242" s="105"/>
      <c r="AD242" s="105"/>
      <c r="AE242" s="105"/>
      <c r="AF242" s="105"/>
      <c r="AG242" s="105"/>
      <c r="AH242" s="105"/>
      <c r="AI242" s="105"/>
      <c r="AJ242" s="105"/>
      <c r="AK242" s="105"/>
    </row>
    <row r="243" spans="29:37">
      <c r="AC243" s="105"/>
      <c r="AD243" s="105"/>
      <c r="AE243" s="105"/>
      <c r="AF243" s="105"/>
      <c r="AG243" s="105"/>
      <c r="AH243" s="105"/>
      <c r="AI243" s="105"/>
      <c r="AJ243" s="105"/>
      <c r="AK243" s="105"/>
    </row>
    <row r="244" spans="29:37">
      <c r="AC244" s="105"/>
      <c r="AD244" s="105"/>
      <c r="AE244" s="105"/>
      <c r="AF244" s="105"/>
      <c r="AG244" s="105"/>
      <c r="AH244" s="105"/>
      <c r="AI244" s="105"/>
      <c r="AJ244" s="105"/>
      <c r="AK244" s="105"/>
    </row>
    <row r="245" spans="29:37">
      <c r="AC245" s="105"/>
      <c r="AD245" s="105"/>
      <c r="AE245" s="105"/>
      <c r="AF245" s="105"/>
      <c r="AG245" s="105"/>
      <c r="AH245" s="105"/>
      <c r="AI245" s="105"/>
      <c r="AJ245" s="105"/>
      <c r="AK245" s="105"/>
    </row>
    <row r="246" spans="29:37">
      <c r="AC246" s="105"/>
      <c r="AD246" s="105"/>
      <c r="AE246" s="105"/>
      <c r="AF246" s="105"/>
      <c r="AG246" s="105"/>
      <c r="AH246" s="105"/>
      <c r="AI246" s="105"/>
      <c r="AJ246" s="105"/>
      <c r="AK246" s="105"/>
    </row>
    <row r="247" spans="29:37">
      <c r="AC247" s="105"/>
      <c r="AD247" s="105"/>
      <c r="AE247" s="105"/>
      <c r="AF247" s="105"/>
      <c r="AG247" s="105"/>
      <c r="AH247" s="105"/>
      <c r="AI247" s="105"/>
      <c r="AJ247" s="105"/>
      <c r="AK247" s="105"/>
    </row>
    <row r="248" spans="29:37">
      <c r="AC248" s="105"/>
      <c r="AD248" s="105"/>
      <c r="AE248" s="105"/>
      <c r="AF248" s="105"/>
      <c r="AG248" s="105"/>
      <c r="AH248" s="105"/>
      <c r="AI248" s="105"/>
      <c r="AJ248" s="105"/>
      <c r="AK248" s="105"/>
    </row>
    <row r="249" spans="29:37">
      <c r="AC249" s="105"/>
      <c r="AD249" s="105"/>
      <c r="AE249" s="105"/>
      <c r="AF249" s="105"/>
      <c r="AG249" s="105"/>
      <c r="AH249" s="105"/>
      <c r="AI249" s="105"/>
      <c r="AJ249" s="105"/>
      <c r="AK249" s="105"/>
    </row>
    <row r="250" spans="29:37">
      <c r="AC250" s="105"/>
      <c r="AD250" s="105"/>
      <c r="AE250" s="105"/>
      <c r="AF250" s="105"/>
      <c r="AG250" s="105"/>
      <c r="AH250" s="105"/>
      <c r="AI250" s="105"/>
      <c r="AJ250" s="105"/>
      <c r="AK250" s="105"/>
    </row>
    <row r="251" spans="29:37">
      <c r="AC251" s="105"/>
      <c r="AD251" s="105"/>
      <c r="AE251" s="105"/>
      <c r="AF251" s="105"/>
      <c r="AG251" s="105"/>
      <c r="AH251" s="105"/>
      <c r="AI251" s="105"/>
      <c r="AJ251" s="105"/>
      <c r="AK251" s="105"/>
    </row>
    <row r="252" spans="29:37">
      <c r="AC252" s="105"/>
      <c r="AD252" s="105"/>
      <c r="AE252" s="105"/>
      <c r="AF252" s="105"/>
      <c r="AG252" s="105"/>
      <c r="AH252" s="105"/>
      <c r="AI252" s="105"/>
      <c r="AJ252" s="105"/>
      <c r="AK252" s="105"/>
    </row>
    <row r="253" spans="29:37">
      <c r="AC253" s="105"/>
      <c r="AD253" s="105"/>
      <c r="AE253" s="105"/>
      <c r="AF253" s="105"/>
      <c r="AG253" s="105"/>
      <c r="AH253" s="105"/>
      <c r="AI253" s="105"/>
      <c r="AJ253" s="105"/>
      <c r="AK253" s="105"/>
    </row>
    <row r="254" spans="29:37">
      <c r="AC254" s="105"/>
      <c r="AD254" s="105"/>
      <c r="AE254" s="105"/>
      <c r="AF254" s="105"/>
      <c r="AG254" s="105"/>
      <c r="AH254" s="105"/>
      <c r="AI254" s="105"/>
      <c r="AJ254" s="105"/>
      <c r="AK254" s="105"/>
    </row>
    <row r="255" spans="29:37">
      <c r="AC255" s="105"/>
      <c r="AD255" s="105"/>
      <c r="AE255" s="105"/>
      <c r="AF255" s="105"/>
      <c r="AG255" s="105"/>
      <c r="AH255" s="105"/>
      <c r="AI255" s="105"/>
      <c r="AJ255" s="105"/>
      <c r="AK255" s="105"/>
    </row>
    <row r="256" spans="29:37">
      <c r="AC256" s="105"/>
      <c r="AD256" s="105"/>
      <c r="AE256" s="105"/>
      <c r="AF256" s="105"/>
      <c r="AG256" s="105"/>
      <c r="AH256" s="105"/>
      <c r="AI256" s="105"/>
      <c r="AJ256" s="105"/>
      <c r="AK256" s="105"/>
    </row>
    <row r="257" spans="29:37">
      <c r="AC257" s="105"/>
      <c r="AD257" s="105"/>
      <c r="AE257" s="105"/>
      <c r="AF257" s="105"/>
      <c r="AG257" s="105"/>
      <c r="AH257" s="105"/>
      <c r="AI257" s="105"/>
      <c r="AJ257" s="105"/>
      <c r="AK257" s="105"/>
    </row>
    <row r="258" spans="29:37">
      <c r="AC258" s="105"/>
      <c r="AD258" s="105"/>
      <c r="AE258" s="105"/>
      <c r="AF258" s="105"/>
      <c r="AG258" s="105"/>
      <c r="AH258" s="105"/>
      <c r="AI258" s="105"/>
      <c r="AJ258" s="105"/>
      <c r="AK258" s="105"/>
    </row>
    <row r="259" spans="29:37">
      <c r="AC259" s="105"/>
      <c r="AD259" s="105"/>
      <c r="AE259" s="105"/>
      <c r="AF259" s="105"/>
      <c r="AG259" s="105"/>
      <c r="AH259" s="105"/>
      <c r="AI259" s="105"/>
      <c r="AJ259" s="105"/>
      <c r="AK259" s="105"/>
    </row>
    <row r="260" spans="29:37">
      <c r="AC260" s="105"/>
      <c r="AD260" s="105"/>
      <c r="AE260" s="105"/>
      <c r="AF260" s="105"/>
      <c r="AG260" s="105"/>
      <c r="AH260" s="105"/>
      <c r="AI260" s="105"/>
      <c r="AJ260" s="105"/>
      <c r="AK260" s="105"/>
    </row>
    <row r="261" spans="29:37">
      <c r="AC261" s="105"/>
      <c r="AD261" s="105"/>
      <c r="AE261" s="105"/>
      <c r="AF261" s="105"/>
      <c r="AG261" s="105"/>
      <c r="AH261" s="105"/>
      <c r="AI261" s="105"/>
      <c r="AJ261" s="105"/>
      <c r="AK261" s="105"/>
    </row>
    <row r="262" spans="29:37">
      <c r="AC262" s="105"/>
      <c r="AD262" s="105"/>
      <c r="AE262" s="105"/>
      <c r="AF262" s="105"/>
      <c r="AG262" s="105"/>
      <c r="AH262" s="105"/>
      <c r="AI262" s="105"/>
      <c r="AJ262" s="105"/>
      <c r="AK262" s="105"/>
    </row>
    <row r="263" spans="29:37">
      <c r="AC263" s="105"/>
      <c r="AD263" s="105"/>
      <c r="AE263" s="105"/>
      <c r="AF263" s="105"/>
      <c r="AG263" s="105"/>
      <c r="AH263" s="105"/>
      <c r="AI263" s="105"/>
      <c r="AJ263" s="105"/>
      <c r="AK263" s="105"/>
    </row>
    <row r="264" spans="29:37">
      <c r="AC264" s="105"/>
      <c r="AD264" s="105"/>
      <c r="AE264" s="105"/>
      <c r="AF264" s="105"/>
      <c r="AG264" s="105"/>
      <c r="AH264" s="105"/>
      <c r="AI264" s="105"/>
      <c r="AJ264" s="105"/>
      <c r="AK264" s="105"/>
    </row>
    <row r="265" spans="29:37">
      <c r="AC265" s="105"/>
      <c r="AD265" s="105"/>
      <c r="AE265" s="105"/>
      <c r="AF265" s="105"/>
      <c r="AG265" s="105"/>
      <c r="AH265" s="105"/>
      <c r="AI265" s="105"/>
      <c r="AJ265" s="105"/>
      <c r="AK265" s="105"/>
    </row>
    <row r="266" spans="29:37">
      <c r="AC266" s="105"/>
      <c r="AD266" s="105"/>
      <c r="AE266" s="105"/>
      <c r="AF266" s="105"/>
      <c r="AG266" s="105"/>
      <c r="AH266" s="105"/>
      <c r="AI266" s="105"/>
      <c r="AJ266" s="105"/>
      <c r="AK266" s="105"/>
    </row>
    <row r="267" spans="29:37">
      <c r="AC267" s="105"/>
      <c r="AD267" s="105"/>
      <c r="AE267" s="105"/>
      <c r="AF267" s="105"/>
      <c r="AG267" s="105"/>
      <c r="AH267" s="105"/>
      <c r="AI267" s="105"/>
      <c r="AJ267" s="105"/>
      <c r="AK267" s="105"/>
    </row>
    <row r="268" spans="29:37">
      <c r="AC268" s="105"/>
      <c r="AD268" s="105"/>
      <c r="AE268" s="105"/>
      <c r="AF268" s="105"/>
      <c r="AG268" s="105"/>
      <c r="AH268" s="105"/>
      <c r="AI268" s="105"/>
      <c r="AJ268" s="105"/>
      <c r="AK268" s="105"/>
    </row>
    <row r="269" spans="29:37">
      <c r="AC269" s="105"/>
      <c r="AD269" s="105"/>
      <c r="AE269" s="105"/>
      <c r="AF269" s="105"/>
      <c r="AG269" s="105"/>
      <c r="AH269" s="105"/>
      <c r="AI269" s="105"/>
      <c r="AJ269" s="105"/>
      <c r="AK269" s="105"/>
    </row>
    <row r="270" spans="29:37">
      <c r="AC270" s="105"/>
      <c r="AD270" s="105"/>
      <c r="AE270" s="105"/>
      <c r="AF270" s="105"/>
      <c r="AG270" s="105"/>
      <c r="AH270" s="105"/>
      <c r="AI270" s="105"/>
      <c r="AJ270" s="105"/>
      <c r="AK270" s="105"/>
    </row>
    <row r="271" spans="29:37">
      <c r="AC271" s="105"/>
      <c r="AD271" s="105"/>
      <c r="AE271" s="105"/>
      <c r="AF271" s="105"/>
      <c r="AG271" s="105"/>
      <c r="AH271" s="105"/>
      <c r="AI271" s="105"/>
      <c r="AJ271" s="105"/>
      <c r="AK271" s="105"/>
    </row>
    <row r="272" spans="29:37">
      <c r="AC272" s="105"/>
      <c r="AD272" s="105"/>
      <c r="AE272" s="105"/>
      <c r="AF272" s="105"/>
      <c r="AG272" s="105"/>
      <c r="AH272" s="105"/>
      <c r="AI272" s="105"/>
      <c r="AJ272" s="105"/>
      <c r="AK272" s="105"/>
    </row>
    <row r="273" spans="29:37">
      <c r="AC273" s="105"/>
      <c r="AD273" s="105"/>
      <c r="AE273" s="105"/>
      <c r="AF273" s="105"/>
      <c r="AG273" s="105"/>
      <c r="AH273" s="105"/>
      <c r="AI273" s="105"/>
      <c r="AJ273" s="105"/>
      <c r="AK273" s="105"/>
    </row>
    <row r="274" spans="29:37">
      <c r="AC274" s="105"/>
      <c r="AD274" s="105"/>
      <c r="AE274" s="105"/>
      <c r="AF274" s="105"/>
      <c r="AG274" s="105"/>
      <c r="AH274" s="105"/>
      <c r="AI274" s="105"/>
      <c r="AJ274" s="105"/>
      <c r="AK274" s="105"/>
    </row>
    <row r="275" spans="29:37">
      <c r="AC275" s="105"/>
      <c r="AD275" s="105"/>
      <c r="AE275" s="105"/>
      <c r="AF275" s="105"/>
      <c r="AG275" s="105"/>
      <c r="AH275" s="105"/>
      <c r="AI275" s="105"/>
      <c r="AJ275" s="105"/>
      <c r="AK275" s="105"/>
    </row>
    <row r="276" spans="29:37">
      <c r="AC276" s="105"/>
      <c r="AD276" s="105"/>
      <c r="AE276" s="105"/>
      <c r="AF276" s="105"/>
      <c r="AG276" s="105"/>
      <c r="AH276" s="105"/>
      <c r="AI276" s="105"/>
      <c r="AJ276" s="105"/>
      <c r="AK276" s="105"/>
    </row>
    <row r="277" spans="29:37">
      <c r="AC277" s="105"/>
      <c r="AD277" s="105"/>
      <c r="AE277" s="105"/>
      <c r="AF277" s="105"/>
      <c r="AG277" s="105"/>
      <c r="AH277" s="105"/>
      <c r="AI277" s="105"/>
      <c r="AJ277" s="105"/>
      <c r="AK277" s="105"/>
    </row>
    <row r="278" spans="29:37">
      <c r="AC278" s="105"/>
      <c r="AD278" s="105"/>
      <c r="AE278" s="105"/>
      <c r="AF278" s="105"/>
      <c r="AG278" s="105"/>
      <c r="AH278" s="105"/>
      <c r="AI278" s="105"/>
      <c r="AJ278" s="105"/>
      <c r="AK278" s="105"/>
    </row>
    <row r="279" spans="29:37">
      <c r="AC279" s="105"/>
      <c r="AD279" s="105"/>
      <c r="AE279" s="105"/>
      <c r="AF279" s="105"/>
      <c r="AG279" s="105"/>
      <c r="AH279" s="105"/>
      <c r="AI279" s="105"/>
      <c r="AJ279" s="105"/>
      <c r="AK279" s="105"/>
    </row>
    <row r="280" spans="29:37">
      <c r="AC280" s="105"/>
      <c r="AD280" s="105"/>
      <c r="AE280" s="105"/>
      <c r="AF280" s="105"/>
      <c r="AG280" s="105"/>
      <c r="AH280" s="105"/>
      <c r="AI280" s="105"/>
      <c r="AJ280" s="105"/>
      <c r="AK280" s="105"/>
    </row>
    <row r="281" spans="29:37">
      <c r="AC281" s="105"/>
      <c r="AD281" s="105"/>
      <c r="AE281" s="105"/>
      <c r="AF281" s="105"/>
      <c r="AG281" s="105"/>
      <c r="AH281" s="105"/>
      <c r="AI281" s="105"/>
      <c r="AJ281" s="105"/>
      <c r="AK281" s="105"/>
    </row>
    <row r="282" spans="29:37">
      <c r="AC282" s="105"/>
      <c r="AD282" s="105"/>
      <c r="AE282" s="105"/>
      <c r="AF282" s="105"/>
      <c r="AG282" s="105"/>
      <c r="AH282" s="105"/>
      <c r="AI282" s="105"/>
      <c r="AJ282" s="105"/>
      <c r="AK282" s="105"/>
    </row>
    <row r="283" spans="29:37">
      <c r="AC283" s="105"/>
      <c r="AD283" s="105"/>
      <c r="AE283" s="105"/>
      <c r="AF283" s="105"/>
      <c r="AG283" s="105"/>
      <c r="AH283" s="105"/>
      <c r="AI283" s="105"/>
      <c r="AJ283" s="105"/>
      <c r="AK283" s="105"/>
    </row>
    <row r="284" spans="29:37">
      <c r="AC284" s="105"/>
      <c r="AD284" s="105"/>
      <c r="AE284" s="105"/>
      <c r="AF284" s="105"/>
      <c r="AG284" s="105"/>
      <c r="AH284" s="105"/>
      <c r="AI284" s="105"/>
      <c r="AJ284" s="105"/>
      <c r="AK284" s="105"/>
    </row>
    <row r="285" spans="29:37">
      <c r="AC285" s="105"/>
      <c r="AD285" s="105"/>
      <c r="AE285" s="105"/>
      <c r="AF285" s="105"/>
      <c r="AG285" s="105"/>
      <c r="AH285" s="105"/>
      <c r="AI285" s="105"/>
      <c r="AJ285" s="105"/>
      <c r="AK285" s="105"/>
    </row>
    <row r="286" spans="29:37">
      <c r="AC286" s="105"/>
      <c r="AD286" s="105"/>
      <c r="AE286" s="105"/>
      <c r="AF286" s="105"/>
      <c r="AG286" s="105"/>
      <c r="AH286" s="105"/>
      <c r="AI286" s="105"/>
      <c r="AJ286" s="105"/>
      <c r="AK286" s="105"/>
    </row>
    <row r="287" spans="29:37">
      <c r="AC287" s="105"/>
      <c r="AD287" s="105"/>
      <c r="AE287" s="105"/>
      <c r="AF287" s="105"/>
      <c r="AG287" s="105"/>
      <c r="AH287" s="105"/>
      <c r="AI287" s="105"/>
      <c r="AJ287" s="105"/>
      <c r="AK287" s="105"/>
    </row>
    <row r="288" spans="29:37">
      <c r="AC288" s="105"/>
      <c r="AD288" s="105"/>
      <c r="AE288" s="105"/>
      <c r="AF288" s="105"/>
      <c r="AG288" s="105"/>
      <c r="AH288" s="105"/>
      <c r="AI288" s="105"/>
      <c r="AJ288" s="105"/>
      <c r="AK288" s="105"/>
    </row>
    <row r="289" spans="29:37">
      <c r="AC289" s="105"/>
      <c r="AD289" s="105"/>
      <c r="AE289" s="105"/>
      <c r="AF289" s="105"/>
      <c r="AG289" s="105"/>
      <c r="AH289" s="105"/>
      <c r="AI289" s="105"/>
      <c r="AJ289" s="105"/>
      <c r="AK289" s="105"/>
    </row>
    <row r="290" spans="29:37">
      <c r="AC290" s="105"/>
      <c r="AD290" s="105"/>
      <c r="AE290" s="105"/>
      <c r="AF290" s="105"/>
      <c r="AG290" s="105"/>
      <c r="AH290" s="105"/>
      <c r="AI290" s="105"/>
      <c r="AJ290" s="105"/>
      <c r="AK290" s="105"/>
    </row>
    <row r="291" spans="29:37">
      <c r="AC291" s="105"/>
      <c r="AD291" s="105"/>
      <c r="AE291" s="105"/>
      <c r="AF291" s="105"/>
      <c r="AG291" s="105"/>
      <c r="AH291" s="105"/>
      <c r="AI291" s="105"/>
      <c r="AJ291" s="105"/>
      <c r="AK291" s="105"/>
    </row>
    <row r="292" spans="29:37">
      <c r="AC292" s="105"/>
      <c r="AD292" s="105"/>
      <c r="AE292" s="105"/>
      <c r="AF292" s="105"/>
      <c r="AG292" s="105"/>
      <c r="AH292" s="105"/>
      <c r="AI292" s="105"/>
      <c r="AJ292" s="105"/>
      <c r="AK292" s="105"/>
    </row>
    <row r="293" spans="29:37">
      <c r="AC293" s="105"/>
      <c r="AD293" s="105"/>
      <c r="AE293" s="105"/>
      <c r="AF293" s="105"/>
      <c r="AG293" s="105"/>
      <c r="AH293" s="105"/>
      <c r="AI293" s="105"/>
      <c r="AJ293" s="105"/>
      <c r="AK293" s="105"/>
    </row>
    <row r="294" spans="29:37">
      <c r="AC294" s="105"/>
      <c r="AD294" s="105"/>
      <c r="AE294" s="105"/>
      <c r="AF294" s="105"/>
      <c r="AG294" s="105"/>
      <c r="AH294" s="105"/>
      <c r="AI294" s="105"/>
      <c r="AJ294" s="105"/>
      <c r="AK294" s="105"/>
    </row>
    <row r="295" spans="29:37">
      <c r="AC295" s="105"/>
      <c r="AD295" s="105"/>
      <c r="AE295" s="105"/>
      <c r="AF295" s="105"/>
      <c r="AG295" s="105"/>
      <c r="AH295" s="105"/>
      <c r="AI295" s="105"/>
      <c r="AJ295" s="105"/>
      <c r="AK295" s="105"/>
    </row>
    <row r="296" spans="29:37">
      <c r="AC296" s="105"/>
      <c r="AD296" s="105"/>
      <c r="AE296" s="105"/>
      <c r="AF296" s="105"/>
      <c r="AG296" s="105"/>
      <c r="AH296" s="105"/>
      <c r="AI296" s="105"/>
      <c r="AJ296" s="105"/>
      <c r="AK296" s="105"/>
    </row>
  </sheetData>
  <sheetProtection password="CC17" sheet="1" objects="1" scenarios="1"/>
  <mergeCells count="44">
    <mergeCell ref="C127:D127"/>
    <mergeCell ref="H127:J127"/>
    <mergeCell ref="L127:M127"/>
    <mergeCell ref="C128:D128"/>
    <mergeCell ref="H128:J128"/>
    <mergeCell ref="L128:M128"/>
    <mergeCell ref="C125:D125"/>
    <mergeCell ref="H125:J125"/>
    <mergeCell ref="L125:M125"/>
    <mergeCell ref="C126:D126"/>
    <mergeCell ref="H126:J126"/>
    <mergeCell ref="L126:M126"/>
    <mergeCell ref="C121:D121"/>
    <mergeCell ref="C122:D122"/>
    <mergeCell ref="C123:D123"/>
    <mergeCell ref="H123:J123"/>
    <mergeCell ref="L123:M123"/>
    <mergeCell ref="C124:D124"/>
    <mergeCell ref="H124:J124"/>
    <mergeCell ref="L124:M124"/>
    <mergeCell ref="L117:M117"/>
    <mergeCell ref="C118:D118"/>
    <mergeCell ref="C119:D119"/>
    <mergeCell ref="C120:D120"/>
    <mergeCell ref="E120:F120"/>
    <mergeCell ref="L120:M120"/>
    <mergeCell ref="B105:C105"/>
    <mergeCell ref="E105:F105"/>
    <mergeCell ref="G105:H105"/>
    <mergeCell ref="I105:J105"/>
    <mergeCell ref="A117:A118"/>
    <mergeCell ref="B117:B118"/>
    <mergeCell ref="C117:D117"/>
    <mergeCell ref="E117:F117"/>
    <mergeCell ref="U21:U22"/>
    <mergeCell ref="U23:U24"/>
    <mergeCell ref="W29:Y29"/>
    <mergeCell ref="A103:A104"/>
    <mergeCell ref="B103:C104"/>
    <mergeCell ref="D103:D104"/>
    <mergeCell ref="E103:J103"/>
    <mergeCell ref="E104:F104"/>
    <mergeCell ref="G104:H104"/>
    <mergeCell ref="I104:J104"/>
  </mergeCells>
  <phoneticPr fontId="3" type="noConversion"/>
  <pageMargins left="0.78740157480314965" right="0.78740157480314965" top="0.98425196850393704" bottom="0.98425196850393704" header="0.51181102362204722" footer="0.51181102362204722"/>
  <pageSetup paperSize="9" scale="75" orientation="portrait" verticalDpi="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Verif Poutre</vt:lpstr>
      <vt:lpstr>Détail calculs</vt:lpstr>
      <vt:lpstr>'Détail calculs'!Zone_d_impression</vt:lpstr>
      <vt:lpstr>'Verif Poutre'!Zone_d_impression</vt:lpstr>
    </vt:vector>
  </TitlesOfParts>
  <Company>Setec TPI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blanc</dc:creator>
  <cp:lastModifiedBy>cwe</cp:lastModifiedBy>
  <cp:lastPrinted>2010-09-06T11:21:34Z</cp:lastPrinted>
  <dcterms:created xsi:type="dcterms:W3CDTF">2010-09-02T13:59:28Z</dcterms:created>
  <dcterms:modified xsi:type="dcterms:W3CDTF">2012-11-17T09:42:29Z</dcterms:modified>
</cp:coreProperties>
</file>