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Eléments structuraux " sheetId="1" r:id="rId1"/>
    <sheet name="Eléments secondaires " sheetId="2" r:id="rId2"/>
    <sheet name="Charge" sheetId="3" r:id="rId3"/>
  </sheets>
  <calcPr calcId="125725"/>
</workbook>
</file>

<file path=xl/calcChain.xml><?xml version="1.0" encoding="utf-8"?>
<calcChain xmlns="http://schemas.openxmlformats.org/spreadsheetml/2006/main">
  <c r="D56" i="1"/>
  <c r="J37"/>
  <c r="E58"/>
  <c r="F56"/>
  <c r="F54"/>
  <c r="F53"/>
  <c r="F51"/>
  <c r="D6" i="2"/>
  <c r="D4"/>
  <c r="E78" i="1" l="1"/>
  <c r="C79" s="1"/>
  <c r="C81" s="1"/>
  <c r="R29" l="1"/>
  <c r="R30"/>
  <c r="R31"/>
  <c r="R32"/>
  <c r="R33"/>
  <c r="R34"/>
  <c r="R35"/>
  <c r="R36"/>
  <c r="R37"/>
  <c r="R28"/>
  <c r="E19"/>
  <c r="E18"/>
  <c r="E17"/>
  <c r="K37"/>
  <c r="E71"/>
  <c r="F71" s="1"/>
  <c r="K36" s="1"/>
  <c r="E70"/>
  <c r="F70" s="1"/>
  <c r="K35" s="1"/>
  <c r="E69"/>
  <c r="F69" s="1"/>
  <c r="K34" s="1"/>
  <c r="E68"/>
  <c r="F68" s="1"/>
  <c r="K33" s="1"/>
  <c r="E67"/>
  <c r="F67" s="1"/>
  <c r="K32" s="1"/>
  <c r="E66"/>
  <c r="F66" s="1"/>
  <c r="K31" s="1"/>
  <c r="E65"/>
  <c r="F65" s="1"/>
  <c r="E63"/>
  <c r="F63" s="1"/>
  <c r="K29" s="1"/>
  <c r="E62"/>
  <c r="F62" s="1"/>
  <c r="K28" s="1"/>
  <c r="D45"/>
  <c r="F45" s="1"/>
  <c r="F43"/>
  <c r="F42"/>
  <c r="D40"/>
  <c r="F31"/>
  <c r="D33"/>
  <c r="D28"/>
  <c r="F30"/>
  <c r="D41" i="3"/>
  <c r="D40"/>
  <c r="D39"/>
  <c r="D38"/>
  <c r="D37"/>
  <c r="D31"/>
  <c r="D30"/>
  <c r="D29"/>
  <c r="D27"/>
  <c r="D20"/>
  <c r="D21"/>
  <c r="D22"/>
  <c r="F6" i="2"/>
  <c r="F4"/>
  <c r="C19" i="1"/>
  <c r="H13"/>
  <c r="F13"/>
  <c r="H9"/>
  <c r="F9"/>
  <c r="H4"/>
  <c r="F4"/>
  <c r="E36" l="1"/>
  <c r="E64"/>
  <c r="F64" s="1"/>
  <c r="K30" s="1"/>
  <c r="E48"/>
  <c r="J28" s="1"/>
  <c r="D44" i="3"/>
  <c r="D32"/>
  <c r="D23"/>
  <c r="M28" i="1" l="1"/>
  <c r="J29"/>
  <c r="L28"/>
  <c r="N28" l="1"/>
  <c r="O28" s="1"/>
  <c r="M29"/>
  <c r="N29" s="1"/>
  <c r="O29" s="1"/>
  <c r="L29"/>
  <c r="J30"/>
  <c r="L30" l="1"/>
  <c r="J31"/>
  <c r="M30"/>
  <c r="N30" s="1"/>
  <c r="O30" s="1"/>
  <c r="J32" l="1"/>
  <c r="M31"/>
  <c r="N31" s="1"/>
  <c r="O31" s="1"/>
  <c r="L31"/>
  <c r="M32" l="1"/>
  <c r="N32" s="1"/>
  <c r="O32" s="1"/>
  <c r="L32"/>
  <c r="J33"/>
  <c r="M33" l="1"/>
  <c r="N33" s="1"/>
  <c r="O33" s="1"/>
  <c r="J34"/>
  <c r="L33"/>
  <c r="L34" l="1"/>
  <c r="J35"/>
  <c r="M34"/>
  <c r="N34" s="1"/>
  <c r="O34" s="1"/>
  <c r="J36" l="1"/>
  <c r="M35"/>
  <c r="N35" s="1"/>
  <c r="O35" s="1"/>
  <c r="L35"/>
  <c r="M36" l="1"/>
  <c r="N36" s="1"/>
  <c r="O36" s="1"/>
  <c r="L36"/>
  <c r="M37" l="1"/>
  <c r="N37" s="1"/>
  <c r="O37" s="1"/>
  <c r="L37"/>
</calcChain>
</file>

<file path=xl/sharedStrings.xml><?xml version="1.0" encoding="utf-8"?>
<sst xmlns="http://schemas.openxmlformats.org/spreadsheetml/2006/main" count="217" uniqueCount="141">
  <si>
    <t>&lt; e &lt;</t>
  </si>
  <si>
    <t>L (cm)</t>
  </si>
  <si>
    <t>&lt; h &lt;</t>
  </si>
  <si>
    <t>&lt; b &lt;</t>
  </si>
  <si>
    <t>h (cm)</t>
  </si>
  <si>
    <t>b ≥ 20 cm</t>
  </si>
  <si>
    <t>h/b</t>
  </si>
  <si>
    <t>≤ 4</t>
  </si>
  <si>
    <t>prédimensionnemnt du balcon:</t>
  </si>
  <si>
    <t>prédimensionnemnt de l'escalier:</t>
  </si>
  <si>
    <t>h ≥30cm</t>
  </si>
  <si>
    <r>
      <rPr>
        <sz val="12"/>
        <color theme="0"/>
        <rFont val="Calibri"/>
        <family val="2"/>
        <scheme val="minor"/>
      </rPr>
      <t>h</t>
    </r>
    <r>
      <rPr>
        <sz val="11"/>
        <color theme="0"/>
        <rFont val="Calibri"/>
        <family val="2"/>
        <scheme val="minor"/>
      </rPr>
      <t xml:space="preserve">  </t>
    </r>
    <r>
      <rPr>
        <sz val="10"/>
        <color theme="0"/>
        <rFont val="Calibri"/>
        <family val="2"/>
        <scheme val="minor"/>
      </rPr>
      <t>(cm)</t>
    </r>
  </si>
  <si>
    <r>
      <rPr>
        <sz val="12"/>
        <color theme="0"/>
        <rFont val="Calibri"/>
        <family val="2"/>
        <scheme val="minor"/>
      </rPr>
      <t xml:space="preserve">b </t>
    </r>
    <r>
      <rPr>
        <sz val="10"/>
        <color theme="0"/>
        <rFont val="Calibri"/>
        <family val="2"/>
        <scheme val="minor"/>
      </rPr>
      <t>(cm)</t>
    </r>
  </si>
  <si>
    <t xml:space="preserve">prédimensionnement du plancher </t>
  </si>
  <si>
    <t xml:space="preserve">prédimensionnement des  poutres </t>
  </si>
  <si>
    <t>vérifiation RPA en zone III et IIb:</t>
  </si>
  <si>
    <t xml:space="preserve">  Désignation des éléments</t>
  </si>
  <si>
    <t>e(cm)</t>
  </si>
  <si>
    <t>/</t>
  </si>
  <si>
    <t>TOTAL</t>
  </si>
  <si>
    <t xml:space="preserve">Type de plancher </t>
  </si>
  <si>
    <t>poid total terrasse  inaccessible</t>
  </si>
  <si>
    <t xml:space="preserve">poids total terasse accessible </t>
  </si>
  <si>
    <t xml:space="preserve">poids total plancher étage courant </t>
  </si>
  <si>
    <t>16+4</t>
  </si>
  <si>
    <t>16+5</t>
  </si>
  <si>
    <t>20+5</t>
  </si>
  <si>
    <t>25+5</t>
  </si>
  <si>
    <t xml:space="preserve">16+5 </t>
  </si>
  <si>
    <t>poid  (Kn/m²)</t>
  </si>
  <si>
    <t>poids des plancher pour un entrvous en polystyrène :</t>
  </si>
  <si>
    <t>Poids des plancher pour un entrvous en béton :</t>
  </si>
  <si>
    <t>Maçonnerie :</t>
  </si>
  <si>
    <t>mur intérieur:</t>
  </si>
  <si>
    <t>e  [m]</t>
  </si>
  <si>
    <t xml:space="preserve">Enduit en plâtre </t>
  </si>
  <si>
    <t xml:space="preserve">Brique creuse </t>
  </si>
  <si>
    <t>ρv(Kn/m³)</t>
  </si>
  <si>
    <t>Poid surfacique (Kn/m²)</t>
  </si>
  <si>
    <t>G=</t>
  </si>
  <si>
    <t>G  =</t>
  </si>
  <si>
    <t>mur extérieur:</t>
  </si>
  <si>
    <t xml:space="preserve">Brique : </t>
  </si>
  <si>
    <t>Ame d'aire :</t>
  </si>
  <si>
    <t xml:space="preserve">Brique:  </t>
  </si>
  <si>
    <t>Enduit plâtre :</t>
  </si>
  <si>
    <t>Enduit ciment :</t>
  </si>
  <si>
    <t>2,7-3,1</t>
  </si>
  <si>
    <t>Balcon :</t>
  </si>
  <si>
    <t>Poids volumique (KN/m3)</t>
  </si>
  <si>
    <t xml:space="preserve">  Carrelage</t>
  </si>
  <si>
    <t xml:space="preserve">  Chape de mortier</t>
  </si>
  <si>
    <t xml:space="preserve">  Lit de sable</t>
  </si>
  <si>
    <t xml:space="preserve">  Dalle en B A</t>
  </si>
  <si>
    <t xml:space="preserve">  Enduit en  plâtre</t>
  </si>
  <si>
    <t xml:space="preserve"> Garde corps métallique </t>
  </si>
  <si>
    <t>Poids surfacique (KN/m²)</t>
  </si>
  <si>
    <t xml:space="preserve">             3.59</t>
  </si>
  <si>
    <t>prédimensionnement des  poteaux</t>
  </si>
  <si>
    <t>determiner la charge permanente</t>
  </si>
  <si>
    <t>au niveau terasse:</t>
  </si>
  <si>
    <t>surface m²</t>
  </si>
  <si>
    <t>plancher</t>
  </si>
  <si>
    <t>pp</t>
  </si>
  <si>
    <t>a</t>
  </si>
  <si>
    <t>ps</t>
  </si>
  <si>
    <t>poids(KN)</t>
  </si>
  <si>
    <t>Gt KN/m²</t>
  </si>
  <si>
    <r>
      <t>ρ</t>
    </r>
    <r>
      <rPr>
        <i/>
        <vertAlign val="subscript"/>
        <sz val="12"/>
        <color theme="1"/>
        <rFont val="Times New Roman"/>
        <family val="1"/>
      </rPr>
      <t xml:space="preserve">b </t>
    </r>
    <r>
      <rPr>
        <vertAlign val="subscript"/>
        <sz val="12"/>
        <color theme="1"/>
        <rFont val="Times New Roman"/>
        <family val="1"/>
      </rPr>
      <t>(KN/m</t>
    </r>
    <r>
      <rPr>
        <vertAlign val="subscript"/>
        <sz val="12"/>
        <color theme="1"/>
        <rFont val="Calibri"/>
        <family val="2"/>
      </rPr>
      <t xml:space="preserve">³) </t>
    </r>
  </si>
  <si>
    <t>L (m)</t>
  </si>
  <si>
    <t>b (m)</t>
  </si>
  <si>
    <t>a (m)</t>
  </si>
  <si>
    <t>Acrotére</t>
  </si>
  <si>
    <t>G(KN/ml)</t>
  </si>
  <si>
    <t>L(m)</t>
  </si>
  <si>
    <t>A l'etage courant:</t>
  </si>
  <si>
    <t>Ge KN/m²</t>
  </si>
  <si>
    <t>Poteau</t>
  </si>
  <si>
    <t>h</t>
  </si>
  <si>
    <t>he=</t>
  </si>
  <si>
    <r>
      <t>h</t>
    </r>
    <r>
      <rPr>
        <vertAlign val="subscript"/>
        <sz val="12"/>
        <color theme="1"/>
        <rFont val="Times New Roman"/>
        <family val="1"/>
      </rPr>
      <t>plancher=</t>
    </r>
  </si>
  <si>
    <t>Gt=</t>
  </si>
  <si>
    <t>Additif</t>
  </si>
  <si>
    <t>g (KN)</t>
  </si>
  <si>
    <t>Poids (KN)</t>
  </si>
  <si>
    <t>Poids(KN)</t>
  </si>
  <si>
    <t>Niveau</t>
  </si>
  <si>
    <t>P8</t>
  </si>
  <si>
    <t>P7</t>
  </si>
  <si>
    <t>P6</t>
  </si>
  <si>
    <t>P5</t>
  </si>
  <si>
    <t>P4</t>
  </si>
  <si>
    <t>P3</t>
  </si>
  <si>
    <t>P2</t>
  </si>
  <si>
    <t>P1</t>
  </si>
  <si>
    <t>Ng (KN)</t>
  </si>
  <si>
    <t>Surcharge</t>
  </si>
  <si>
    <t>Terrasse</t>
  </si>
  <si>
    <t>Q0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</si>
  <si>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</si>
  <si>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</si>
  <si>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</si>
  <si>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</si>
  <si>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</si>
  <si>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</si>
  <si>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</si>
  <si>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</si>
  <si>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</si>
  <si>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∑ surcharge (kN)</t>
  </si>
  <si>
    <t>Nq</t>
  </si>
  <si>
    <t>Nu</t>
  </si>
  <si>
    <t>Ns</t>
  </si>
  <si>
    <t>v= Nd /Bc . Fcj</t>
  </si>
  <si>
    <t>ou</t>
  </si>
  <si>
    <t>v</t>
  </si>
  <si>
    <t>Bc</t>
  </si>
  <si>
    <t>a=b</t>
  </si>
  <si>
    <t>Min rpa</t>
  </si>
  <si>
    <t>choix</t>
  </si>
  <si>
    <t>Obs</t>
  </si>
  <si>
    <t>30*30</t>
  </si>
  <si>
    <t xml:space="preserve">              Bc= Nd /v . Fcj</t>
  </si>
  <si>
    <t>∑ surcharge (kN/m²)</t>
  </si>
  <si>
    <t xml:space="preserve">charge par étage </t>
  </si>
  <si>
    <t>Charge d'exploitation :</t>
  </si>
  <si>
    <t>35*35</t>
  </si>
  <si>
    <t>Section des poteaux:</t>
  </si>
  <si>
    <t>a &gt;=15cm</t>
  </si>
  <si>
    <t>a =</t>
  </si>
  <si>
    <t>prédimensionnement des  Voiles :</t>
  </si>
  <si>
    <t>Fcj (Mpa)</t>
  </si>
  <si>
    <t>he (cm)</t>
  </si>
  <si>
    <t>hpl (cm)</t>
  </si>
  <si>
    <t>PRDC</t>
  </si>
  <si>
    <t>S sol</t>
  </si>
  <si>
    <t>40*40</t>
  </si>
  <si>
    <t>50*50</t>
  </si>
  <si>
    <t>45*45</t>
  </si>
  <si>
    <t>Sous sol</t>
  </si>
  <si>
    <t>e(m)</t>
  </si>
  <si>
    <t>g '(KN)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</si>
</sst>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4"/>
      <color theme="0"/>
      <name val="Times New Roman"/>
      <family val="1"/>
    </font>
    <font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2"/>
      <color indexed="8"/>
      <name val="Times New Roman"/>
      <family val="1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Arial"/>
      <family val="2"/>
    </font>
    <font>
      <i/>
      <sz val="12"/>
      <color theme="1"/>
      <name val="Times New Roman"/>
      <family val="1"/>
    </font>
    <font>
      <i/>
      <vertAlign val="subscript"/>
      <sz val="12"/>
      <color theme="1"/>
      <name val="Times New Roman"/>
      <family val="1"/>
    </font>
    <font>
      <vertAlign val="subscript"/>
      <sz val="12"/>
      <color theme="1"/>
      <name val="Calibri"/>
      <family val="2"/>
    </font>
    <font>
      <vertAlign val="subscript"/>
      <sz val="12"/>
      <color theme="1"/>
      <name val="Times New Roman"/>
      <family val="1"/>
    </font>
    <font>
      <sz val="11"/>
      <name val="Calibri"/>
      <family val="2"/>
      <scheme val="minor"/>
    </font>
    <font>
      <sz val="14"/>
      <color rgb="FF272A34"/>
      <name val="Arial"/>
      <family val="2"/>
    </font>
    <font>
      <sz val="12"/>
      <color rgb="FF545454"/>
      <name val="Arial"/>
      <family val="2"/>
    </font>
    <font>
      <sz val="11"/>
      <color rgb="FFC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5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1" fillId="7" borderId="2" applyNumberFormat="0" applyAlignment="0" applyProtection="0"/>
    <xf numFmtId="0" fontId="12" fillId="7" borderId="1" applyNumberFormat="0" applyAlignment="0" applyProtection="0"/>
    <xf numFmtId="0" fontId="13" fillId="8" borderId="3" applyNumberFormat="0" applyAlignment="0" applyProtection="0"/>
    <xf numFmtId="0" fontId="10" fillId="9" borderId="0" applyNumberFormat="0" applyBorder="0" applyAlignment="0" applyProtection="0"/>
  </cellStyleXfs>
  <cellXfs count="68">
    <xf numFmtId="0" fontId="0" fillId="0" borderId="0" xfId="0"/>
    <xf numFmtId="0" fontId="1" fillId="2" borderId="0" xfId="1"/>
    <xf numFmtId="0" fontId="3" fillId="3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2" borderId="0" xfId="1" applyFont="1"/>
    <xf numFmtId="0" fontId="7" fillId="3" borderId="0" xfId="2" applyFont="1"/>
    <xf numFmtId="0" fontId="7" fillId="3" borderId="0" xfId="2" applyFont="1" applyAlignment="1">
      <alignment horizontal="center"/>
    </xf>
    <xf numFmtId="0" fontId="5" fillId="4" borderId="0" xfId="0" applyFont="1" applyFill="1"/>
    <xf numFmtId="0" fontId="4" fillId="5" borderId="0" xfId="0" applyFont="1" applyFill="1"/>
    <xf numFmtId="0" fontId="5" fillId="5" borderId="0" xfId="0" applyFont="1" applyFill="1"/>
    <xf numFmtId="0" fontId="0" fillId="5" borderId="0" xfId="0" applyFill="1"/>
    <xf numFmtId="0" fontId="3" fillId="5" borderId="0" xfId="2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14" fillId="10" borderId="5" xfId="0" applyFont="1" applyFill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3" fillId="8" borderId="3" xfId="5"/>
    <xf numFmtId="0" fontId="16" fillId="8" borderId="3" xfId="5" applyFont="1"/>
    <xf numFmtId="0" fontId="13" fillId="8" borderId="3" xfId="5" applyAlignment="1">
      <alignment horizontal="center"/>
    </xf>
    <xf numFmtId="0" fontId="11" fillId="7" borderId="2" xfId="3" applyAlignment="1">
      <alignment horizontal="center"/>
    </xf>
    <xf numFmtId="0" fontId="17" fillId="7" borderId="1" xfId="4" applyFont="1" applyAlignment="1">
      <alignment horizontal="center"/>
    </xf>
    <xf numFmtId="0" fontId="13" fillId="8" borderId="3" xfId="5" applyAlignment="1">
      <alignment horizontal="left"/>
    </xf>
    <xf numFmtId="0" fontId="0" fillId="0" borderId="0" xfId="0" applyAlignment="1">
      <alignment horizontal="center"/>
    </xf>
    <xf numFmtId="0" fontId="10" fillId="7" borderId="2" xfId="3" applyFont="1" applyAlignment="1">
      <alignment horizontal="center"/>
    </xf>
    <xf numFmtId="0" fontId="19" fillId="0" borderId="9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9" fillId="0" borderId="8" xfId="0" applyFont="1" applyFill="1" applyBorder="1" applyAlignment="1">
      <alignment horizontal="center" vertical="top" wrapText="1"/>
    </xf>
    <xf numFmtId="0" fontId="19" fillId="0" borderId="10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9" xfId="0" applyFont="1" applyFill="1" applyBorder="1" applyAlignment="1">
      <alignment horizontal="center" vertical="top" wrapText="1"/>
    </xf>
    <xf numFmtId="0" fontId="15" fillId="0" borderId="10" xfId="0" applyFont="1" applyFill="1" applyBorder="1" applyAlignment="1">
      <alignment horizontal="center" vertical="top" wrapText="1"/>
    </xf>
    <xf numFmtId="0" fontId="19" fillId="0" borderId="11" xfId="0" applyFont="1" applyFill="1" applyBorder="1" applyAlignment="1">
      <alignment horizontal="center" vertical="top" wrapText="1"/>
    </xf>
    <xf numFmtId="0" fontId="19" fillId="0" borderId="5" xfId="0" applyFont="1" applyFill="1" applyBorder="1" applyAlignment="1">
      <alignment horizontal="center" vertical="top" wrapText="1"/>
    </xf>
    <xf numFmtId="0" fontId="20" fillId="0" borderId="5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0" fillId="0" borderId="10" xfId="0" applyBorder="1"/>
    <xf numFmtId="0" fontId="0" fillId="0" borderId="6" xfId="0" applyBorder="1"/>
    <xf numFmtId="0" fontId="13" fillId="8" borderId="3" xfId="5" applyAlignment="1">
      <alignment horizontal="left" vertical="top" wrapText="1"/>
    </xf>
    <xf numFmtId="0" fontId="25" fillId="7" borderId="2" xfId="3" applyFont="1" applyAlignment="1">
      <alignment horizontal="center" vertical="top" wrapText="1"/>
    </xf>
    <xf numFmtId="0" fontId="25" fillId="7" borderId="2" xfId="3" applyFont="1" applyAlignment="1">
      <alignment horizontal="center"/>
    </xf>
    <xf numFmtId="0" fontId="26" fillId="0" borderId="0" xfId="0" applyFont="1"/>
    <xf numFmtId="0" fontId="27" fillId="0" borderId="0" xfId="0" applyFont="1"/>
    <xf numFmtId="0" fontId="11" fillId="11" borderId="2" xfId="3" applyFill="1" applyAlignment="1">
      <alignment horizontal="center" vertical="top" wrapText="1"/>
    </xf>
    <xf numFmtId="0" fontId="11" fillId="11" borderId="2" xfId="3" applyFill="1" applyAlignment="1">
      <alignment horizontal="center"/>
    </xf>
    <xf numFmtId="0" fontId="11" fillId="11" borderId="2" xfId="3" applyFill="1"/>
    <xf numFmtId="0" fontId="25" fillId="11" borderId="2" xfId="3" applyFont="1" applyFill="1" applyAlignment="1">
      <alignment horizontal="center" vertical="top" wrapText="1"/>
    </xf>
    <xf numFmtId="0" fontId="10" fillId="11" borderId="12" xfId="6" applyFill="1" applyBorder="1" applyAlignment="1">
      <alignment horizontal="center"/>
    </xf>
    <xf numFmtId="0" fontId="5" fillId="11" borderId="0" xfId="0" applyFont="1" applyFill="1" applyAlignment="1">
      <alignment horizontal="center"/>
    </xf>
    <xf numFmtId="0" fontId="1" fillId="12" borderId="0" xfId="2" applyFill="1" applyAlignment="1">
      <alignment horizontal="center"/>
    </xf>
    <xf numFmtId="0" fontId="7" fillId="6" borderId="0" xfId="2" applyFont="1" applyFill="1"/>
    <xf numFmtId="0" fontId="4" fillId="6" borderId="0" xfId="0" applyFont="1" applyFill="1"/>
    <xf numFmtId="0" fontId="5" fillId="6" borderId="0" xfId="0" applyFont="1" applyFill="1"/>
    <xf numFmtId="0" fontId="4" fillId="0" borderId="0" xfId="0" applyFont="1" applyAlignment="1">
      <alignment horizontal="center"/>
    </xf>
    <xf numFmtId="0" fontId="6" fillId="2" borderId="0" xfId="1" applyFont="1" applyAlignment="1">
      <alignment horizontal="center"/>
    </xf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6" fillId="12" borderId="0" xfId="1" applyFont="1" applyFill="1" applyAlignment="1">
      <alignment horizontal="center"/>
    </xf>
    <xf numFmtId="0" fontId="28" fillId="0" borderId="0" xfId="0" applyFont="1" applyAlignment="1">
      <alignment horizontal="center"/>
    </xf>
    <xf numFmtId="0" fontId="5" fillId="13" borderId="0" xfId="0" applyFont="1" applyFill="1" applyAlignment="1">
      <alignment horizontal="center"/>
    </xf>
    <xf numFmtId="0" fontId="5" fillId="14" borderId="0" xfId="0" applyFont="1" applyFill="1" applyAlignment="1">
      <alignment horizontal="center"/>
    </xf>
    <xf numFmtId="0" fontId="5" fillId="15" borderId="0" xfId="0" applyFont="1" applyFill="1"/>
    <xf numFmtId="0" fontId="5" fillId="15" borderId="0" xfId="0" applyFont="1" applyFill="1" applyAlignment="1">
      <alignment horizontal="center"/>
    </xf>
    <xf numFmtId="0" fontId="5" fillId="16" borderId="0" xfId="0" applyFont="1" applyFill="1" applyAlignment="1">
      <alignment horizontal="center"/>
    </xf>
    <xf numFmtId="0" fontId="21" fillId="16" borderId="0" xfId="0" applyFont="1" applyFill="1" applyAlignment="1">
      <alignment horizontal="center"/>
    </xf>
    <xf numFmtId="0" fontId="18" fillId="15" borderId="0" xfId="0" applyFont="1" applyFill="1" applyAlignment="1">
      <alignment horizontal="center"/>
    </xf>
  </cellXfs>
  <cellStyles count="7">
    <cellStyle name="40 % - Accent2" xfId="6" builtinId="35"/>
    <cellStyle name="Accent2" xfId="1" builtinId="33"/>
    <cellStyle name="Accent3" xfId="2" builtinId="37"/>
    <cellStyle name="Calcul" xfId="4" builtinId="22"/>
    <cellStyle name="Normal" xfId="0" builtinId="0"/>
    <cellStyle name="Sortie" xfId="3" builtinId="21"/>
    <cellStyle name="Vérification" xfId="5" builtin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8</xdr:row>
      <xdr:rowOff>114300</xdr:rowOff>
    </xdr:from>
    <xdr:to>
      <xdr:col>8</xdr:col>
      <xdr:colOff>657225</xdr:colOff>
      <xdr:row>8</xdr:row>
      <xdr:rowOff>123825</xdr:rowOff>
    </xdr:to>
    <xdr:cxnSp macro="">
      <xdr:nvCxnSpPr>
        <xdr:cNvPr id="7" name="Connecteur droit avec flèche 6"/>
        <xdr:cNvCxnSpPr/>
      </xdr:nvCxnSpPr>
      <xdr:spPr>
        <a:xfrm flipV="1">
          <a:off x="4695825" y="1781175"/>
          <a:ext cx="533400" cy="9525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114300</xdr:colOff>
      <xdr:row>12</xdr:row>
      <xdr:rowOff>142875</xdr:rowOff>
    </xdr:from>
    <xdr:to>
      <xdr:col>8</xdr:col>
      <xdr:colOff>666750</xdr:colOff>
      <xdr:row>12</xdr:row>
      <xdr:rowOff>142876</xdr:rowOff>
    </xdr:to>
    <xdr:cxnSp macro="">
      <xdr:nvCxnSpPr>
        <xdr:cNvPr id="8" name="Connecteur droit avec flèche 7"/>
        <xdr:cNvCxnSpPr/>
      </xdr:nvCxnSpPr>
      <xdr:spPr>
        <a:xfrm>
          <a:off x="4686300" y="2619375"/>
          <a:ext cx="552450" cy="1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704850</xdr:colOff>
      <xdr:row>39</xdr:row>
      <xdr:rowOff>171450</xdr:rowOff>
    </xdr:from>
    <xdr:to>
      <xdr:col>11</xdr:col>
      <xdr:colOff>533400</xdr:colOff>
      <xdr:row>41</xdr:row>
      <xdr:rowOff>38100</xdr:rowOff>
    </xdr:to>
    <xdr:sp macro="" textlink="">
      <xdr:nvSpPr>
        <xdr:cNvPr id="9" name="Flèche droite 8"/>
        <xdr:cNvSpPr/>
      </xdr:nvSpPr>
      <xdr:spPr>
        <a:xfrm>
          <a:off x="9048750" y="8191500"/>
          <a:ext cx="590550" cy="304800"/>
        </a:xfrm>
        <a:prstGeom prst="rightArrow">
          <a:avLst/>
        </a:prstGeom>
        <a:solidFill>
          <a:schemeClr val="bg1">
            <a:lumMod val="65000"/>
          </a:schemeClr>
        </a:solidFill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fr-FR" sz="1100"/>
        </a:p>
      </xdr:txBody>
    </xdr:sp>
    <xdr:clientData/>
  </xdr:twoCellAnchor>
  <xdr:twoCellAnchor>
    <xdr:from>
      <xdr:col>7</xdr:col>
      <xdr:colOff>238125</xdr:colOff>
      <xdr:row>22</xdr:row>
      <xdr:rowOff>171450</xdr:rowOff>
    </xdr:from>
    <xdr:to>
      <xdr:col>7</xdr:col>
      <xdr:colOff>238125</xdr:colOff>
      <xdr:row>45</xdr:row>
      <xdr:rowOff>95250</xdr:rowOff>
    </xdr:to>
    <xdr:cxnSp macro="">
      <xdr:nvCxnSpPr>
        <xdr:cNvPr id="11" name="Connecteur droit 10"/>
        <xdr:cNvCxnSpPr/>
      </xdr:nvCxnSpPr>
      <xdr:spPr>
        <a:xfrm>
          <a:off x="6296025" y="4838700"/>
          <a:ext cx="0" cy="45148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R97"/>
  <sheetViews>
    <sheetView tabSelected="1" topLeftCell="A64" zoomScaleNormal="100" workbookViewId="0">
      <selection activeCell="Q28" sqref="Q28"/>
    </sheetView>
  </sheetViews>
  <sheetFormatPr baseColWidth="10" defaultRowHeight="15"/>
  <cols>
    <col min="1" max="1" width="11.42578125" style="5"/>
    <col min="2" max="2" width="11.42578125" style="6"/>
    <col min="3" max="3" width="11.5703125" style="6" bestFit="1" customWidth="1"/>
    <col min="4" max="4" width="14.85546875" style="6" customWidth="1"/>
    <col min="5" max="5" width="18.42578125" style="6" customWidth="1"/>
    <col min="6" max="6" width="17.140625" style="5" customWidth="1"/>
    <col min="7" max="8" width="11.42578125" style="5"/>
    <col min="9" max="11" width="11.42578125" style="6"/>
    <col min="12" max="12" width="15" style="6" customWidth="1"/>
    <col min="13" max="18" width="11.42578125" style="6"/>
    <col min="19" max="16384" width="11.42578125" style="5"/>
  </cols>
  <sheetData>
    <row r="1" spans="1:11" ht="18.75">
      <c r="B1" s="54" t="s">
        <v>13</v>
      </c>
      <c r="C1" s="54"/>
      <c r="D1" s="54"/>
      <c r="E1" s="54"/>
      <c r="F1" s="4"/>
    </row>
    <row r="2" spans="1:11">
      <c r="G2" s="6"/>
    </row>
    <row r="3" spans="1:11">
      <c r="A3" s="7" t="s">
        <v>1</v>
      </c>
      <c r="B3" s="55">
        <v>4.5</v>
      </c>
      <c r="C3" s="55"/>
      <c r="D3" s="55"/>
    </row>
    <row r="4" spans="1:11" ht="18.75">
      <c r="F4" s="51">
        <f>B3/25</f>
        <v>0.18</v>
      </c>
      <c r="G4" s="9" t="s">
        <v>0</v>
      </c>
      <c r="H4" s="8">
        <f>B3/20</f>
        <v>0.22500000000000001</v>
      </c>
    </row>
    <row r="6" spans="1:11" ht="18.75">
      <c r="B6" s="54" t="s">
        <v>14</v>
      </c>
      <c r="C6" s="54"/>
      <c r="D6" s="54"/>
      <c r="E6" s="54"/>
      <c r="F6" s="4"/>
    </row>
    <row r="8" spans="1:11">
      <c r="A8" s="7" t="s">
        <v>1</v>
      </c>
      <c r="B8" s="55">
        <v>4.5</v>
      </c>
      <c r="C8" s="59"/>
      <c r="D8" s="55"/>
    </row>
    <row r="9" spans="1:11" ht="18.75">
      <c r="F9" s="8">
        <f>B8/15</f>
        <v>0.3</v>
      </c>
      <c r="G9" s="9" t="s">
        <v>2</v>
      </c>
      <c r="H9" s="8">
        <f>B8/10</f>
        <v>0.45</v>
      </c>
      <c r="J9" s="50" t="s">
        <v>11</v>
      </c>
      <c r="K9" s="50">
        <v>45</v>
      </c>
    </row>
    <row r="11" spans="1:11">
      <c r="A11" s="7" t="s">
        <v>4</v>
      </c>
      <c r="B11" s="55">
        <v>45</v>
      </c>
      <c r="C11" s="55"/>
      <c r="D11" s="55"/>
    </row>
    <row r="13" spans="1:11" ht="18.75">
      <c r="F13" s="8">
        <f>0.3*B11</f>
        <v>13.5</v>
      </c>
      <c r="G13" s="9" t="s">
        <v>3</v>
      </c>
      <c r="H13" s="8">
        <f>0.7*B11</f>
        <v>31.499999999999996</v>
      </c>
      <c r="J13" s="50" t="s">
        <v>12</v>
      </c>
      <c r="K13" s="50">
        <v>30</v>
      </c>
    </row>
    <row r="15" spans="1:11" ht="18.75">
      <c r="B15" s="54" t="s">
        <v>15</v>
      </c>
      <c r="C15" s="54"/>
      <c r="D15" s="54"/>
    </row>
    <row r="17" spans="1:18" ht="18.75">
      <c r="B17" s="54" t="s">
        <v>5</v>
      </c>
      <c r="C17" s="54"/>
      <c r="D17" s="54"/>
      <c r="E17" s="58" t="str">
        <f>IF(K13&gt;=20,"Ok","Augmenter b")</f>
        <v>Ok</v>
      </c>
      <c r="F17" s="52"/>
    </row>
    <row r="18" spans="1:18" ht="18.75">
      <c r="B18" s="54" t="s">
        <v>10</v>
      </c>
      <c r="C18" s="54"/>
      <c r="D18" s="54"/>
      <c r="E18" s="58" t="str">
        <f>IF(K9&gt;=30,"Ok","Augmenter h")</f>
        <v>Ok</v>
      </c>
      <c r="F18" s="52"/>
    </row>
    <row r="19" spans="1:18" ht="18.75">
      <c r="B19" s="54" t="s">
        <v>6</v>
      </c>
      <c r="C19" s="54">
        <f>(K9/K13)</f>
        <v>1.5</v>
      </c>
      <c r="D19" s="54" t="s">
        <v>7</v>
      </c>
      <c r="E19" s="58" t="str">
        <f>IF(C19&lt;=4,"Ok","Augmenter b")</f>
        <v>Ok</v>
      </c>
      <c r="F19" s="53"/>
      <c r="G19" s="11"/>
      <c r="H19" s="12"/>
    </row>
    <row r="22" spans="1:18" ht="18.75">
      <c r="B22" s="54" t="s">
        <v>58</v>
      </c>
    </row>
    <row r="24" spans="1:18" ht="15.75">
      <c r="B24" s="6" t="s">
        <v>59</v>
      </c>
      <c r="K24" s="43"/>
    </row>
    <row r="25" spans="1:18">
      <c r="J25" s="6" t="s">
        <v>126</v>
      </c>
    </row>
    <row r="26" spans="1:18">
      <c r="B26" s="6" t="s">
        <v>60</v>
      </c>
    </row>
    <row r="27" spans="1:18">
      <c r="B27" s="65" t="s">
        <v>61</v>
      </c>
      <c r="C27" s="65" t="s">
        <v>67</v>
      </c>
      <c r="D27" s="65" t="s">
        <v>85</v>
      </c>
      <c r="I27" s="48" t="s">
        <v>86</v>
      </c>
      <c r="J27" s="48" t="s">
        <v>95</v>
      </c>
      <c r="K27" s="48" t="s">
        <v>109</v>
      </c>
      <c r="L27" s="48" t="s">
        <v>110</v>
      </c>
      <c r="M27" s="48" t="s">
        <v>111</v>
      </c>
      <c r="N27" s="48" t="s">
        <v>115</v>
      </c>
      <c r="O27" s="48" t="s">
        <v>116</v>
      </c>
      <c r="P27" s="48" t="s">
        <v>117</v>
      </c>
      <c r="Q27" s="48" t="s">
        <v>118</v>
      </c>
      <c r="R27" s="49" t="s">
        <v>119</v>
      </c>
    </row>
    <row r="28" spans="1:18">
      <c r="A28" s="63" t="s">
        <v>62</v>
      </c>
      <c r="B28" s="64">
        <v>20.25</v>
      </c>
      <c r="C28" s="64">
        <v>6.64</v>
      </c>
      <c r="D28" s="56">
        <f>C28*B28</f>
        <v>134.45999999999998</v>
      </c>
      <c r="H28" s="5">
        <v>8</v>
      </c>
      <c r="I28" s="47" t="s">
        <v>87</v>
      </c>
      <c r="J28" s="21">
        <f>E36+E48</f>
        <v>316.84500000000003</v>
      </c>
      <c r="K28" s="21">
        <f>F62</f>
        <v>20.25</v>
      </c>
      <c r="L28" s="21">
        <f t="shared" ref="L28:L38" si="0" xml:space="preserve"> 1.35*J28+1.5*K28</f>
        <v>458.11575000000005</v>
      </c>
      <c r="M28" s="21">
        <f t="shared" ref="M28:M38" si="1">J28+K28</f>
        <v>337.09500000000003</v>
      </c>
      <c r="N28" s="21">
        <f>M28/(K43*K44)*10</f>
        <v>449.46000000000004</v>
      </c>
      <c r="O28" s="21">
        <f>SQRT(N28)</f>
        <v>21.200471692865705</v>
      </c>
      <c r="P28" s="21" t="s">
        <v>120</v>
      </c>
      <c r="Q28" s="21" t="s">
        <v>125</v>
      </c>
      <c r="R28" s="21" t="str">
        <f>IF(Q28&gt;=P28,"Ok","Augmenter la section")</f>
        <v>Ok</v>
      </c>
    </row>
    <row r="29" spans="1:18" ht="18.75">
      <c r="B29" s="65" t="s">
        <v>71</v>
      </c>
      <c r="C29" s="65" t="s">
        <v>70</v>
      </c>
      <c r="D29" s="65" t="s">
        <v>69</v>
      </c>
      <c r="E29" s="66" t="s">
        <v>68</v>
      </c>
      <c r="F29" s="65" t="s">
        <v>84</v>
      </c>
      <c r="I29" s="47" t="s">
        <v>88</v>
      </c>
      <c r="J29" s="21">
        <f>J28+E48</f>
        <v>468.85500000000002</v>
      </c>
      <c r="K29" s="21">
        <f>F63</f>
        <v>70.875</v>
      </c>
      <c r="L29" s="21">
        <f t="shared" si="0"/>
        <v>739.26675000000012</v>
      </c>
      <c r="M29" s="21">
        <f t="shared" si="1"/>
        <v>539.73</v>
      </c>
      <c r="N29" s="21">
        <f>(M29/(K43*K44))*10</f>
        <v>719.64</v>
      </c>
      <c r="O29" s="21">
        <f>SQRT(N29)</f>
        <v>26.826106687329787</v>
      </c>
      <c r="P29" s="21" t="s">
        <v>120</v>
      </c>
      <c r="Q29" s="21" t="s">
        <v>125</v>
      </c>
      <c r="R29" s="21" t="str">
        <f t="shared" ref="R29:R38" si="2">IF(Q29&gt;=P29,"Ok","Augmenter la section")</f>
        <v>Ok</v>
      </c>
    </row>
    <row r="30" spans="1:18">
      <c r="A30" s="63" t="s">
        <v>63</v>
      </c>
      <c r="B30" s="64">
        <v>0.3</v>
      </c>
      <c r="C30" s="64">
        <v>0.45</v>
      </c>
      <c r="D30" s="64">
        <v>4.5</v>
      </c>
      <c r="E30" s="64">
        <v>25</v>
      </c>
      <c r="F30" s="10">
        <f>B30*C30*D30*E30</f>
        <v>15.187500000000002</v>
      </c>
      <c r="I30" s="47" t="s">
        <v>89</v>
      </c>
      <c r="J30" s="21">
        <f>J29+E48</f>
        <v>620.86500000000001</v>
      </c>
      <c r="K30" s="21">
        <f>F64</f>
        <v>116.4375</v>
      </c>
      <c r="L30" s="21">
        <f t="shared" si="0"/>
        <v>1012.8240000000001</v>
      </c>
      <c r="M30" s="21">
        <f t="shared" si="1"/>
        <v>737.30250000000001</v>
      </c>
      <c r="N30" s="21">
        <f>M30/(K43*K44)*10</f>
        <v>983.07</v>
      </c>
      <c r="O30" s="21">
        <f t="shared" ref="O30:O38" si="3">SQRT(N30)</f>
        <v>31.353947119940099</v>
      </c>
      <c r="P30" s="21" t="s">
        <v>120</v>
      </c>
      <c r="Q30" s="21" t="s">
        <v>125</v>
      </c>
      <c r="R30" s="21" t="str">
        <f t="shared" si="2"/>
        <v>Ok</v>
      </c>
    </row>
    <row r="31" spans="1:18">
      <c r="A31" s="63" t="s">
        <v>65</v>
      </c>
      <c r="B31" s="64">
        <v>0.3</v>
      </c>
      <c r="C31" s="64">
        <v>0.45</v>
      </c>
      <c r="D31" s="64">
        <v>4.5</v>
      </c>
      <c r="E31" s="64">
        <v>25</v>
      </c>
      <c r="F31" s="10">
        <f>B31*C31*D31*E31</f>
        <v>15.187500000000002</v>
      </c>
      <c r="I31" s="47" t="s">
        <v>90</v>
      </c>
      <c r="J31" s="21">
        <f>J30+E48</f>
        <v>772.875</v>
      </c>
      <c r="K31" s="21">
        <f t="shared" ref="K31:K37" si="4">F66</f>
        <v>192.375</v>
      </c>
      <c r="L31" s="21">
        <f t="shared" si="0"/>
        <v>1331.9437500000001</v>
      </c>
      <c r="M31" s="21">
        <f t="shared" si="1"/>
        <v>965.25</v>
      </c>
      <c r="N31" s="21">
        <f>M31/(K43*K44)*10</f>
        <v>1287</v>
      </c>
      <c r="O31" s="21">
        <f t="shared" si="3"/>
        <v>35.874782229304195</v>
      </c>
      <c r="P31" s="21" t="s">
        <v>120</v>
      </c>
      <c r="Q31" s="21" t="s">
        <v>135</v>
      </c>
      <c r="R31" s="21" t="str">
        <f t="shared" si="2"/>
        <v>Ok</v>
      </c>
    </row>
    <row r="32" spans="1:18">
      <c r="B32" s="65" t="s">
        <v>73</v>
      </c>
      <c r="C32" s="65" t="s">
        <v>74</v>
      </c>
      <c r="D32" s="65" t="s">
        <v>85</v>
      </c>
      <c r="I32" s="47" t="s">
        <v>91</v>
      </c>
      <c r="J32" s="21">
        <f>J31+E48</f>
        <v>924.88499999999999</v>
      </c>
      <c r="K32" s="21">
        <f t="shared" si="4"/>
        <v>222.75</v>
      </c>
      <c r="L32" s="21">
        <f t="shared" si="0"/>
        <v>1582.71975</v>
      </c>
      <c r="M32" s="21">
        <f t="shared" si="1"/>
        <v>1147.635</v>
      </c>
      <c r="N32" s="21">
        <f>M32/(K43*K44)*10</f>
        <v>1530.18</v>
      </c>
      <c r="O32" s="21">
        <f t="shared" si="3"/>
        <v>39.117515258513038</v>
      </c>
      <c r="P32" s="21" t="s">
        <v>120</v>
      </c>
      <c r="Q32" s="21" t="s">
        <v>135</v>
      </c>
      <c r="R32" s="21" t="str">
        <f t="shared" si="2"/>
        <v>Ok</v>
      </c>
    </row>
    <row r="33" spans="1:18">
      <c r="A33" s="63" t="s">
        <v>72</v>
      </c>
      <c r="B33" s="64">
        <v>2.117</v>
      </c>
      <c r="C33" s="64">
        <v>0</v>
      </c>
      <c r="D33" s="56">
        <f>C33*B33</f>
        <v>0</v>
      </c>
      <c r="I33" s="47" t="s">
        <v>92</v>
      </c>
      <c r="J33" s="21">
        <f>J32+E48</f>
        <v>1076.895</v>
      </c>
      <c r="K33" s="21">
        <f t="shared" si="4"/>
        <v>248.0625</v>
      </c>
      <c r="L33" s="21">
        <f t="shared" si="0"/>
        <v>1825.902</v>
      </c>
      <c r="M33" s="21">
        <f t="shared" si="1"/>
        <v>1324.9575</v>
      </c>
      <c r="N33" s="21">
        <f>M33/(K43*K44)*10</f>
        <v>1766.6100000000001</v>
      </c>
      <c r="O33" s="21">
        <f t="shared" si="3"/>
        <v>42.031059943808224</v>
      </c>
      <c r="P33" s="21" t="s">
        <v>120</v>
      </c>
      <c r="Q33" s="21" t="s">
        <v>137</v>
      </c>
      <c r="R33" s="21" t="str">
        <f t="shared" si="2"/>
        <v>Ok</v>
      </c>
    </row>
    <row r="34" spans="1:18">
      <c r="C34" s="65" t="s">
        <v>84</v>
      </c>
      <c r="D34" s="57"/>
      <c r="I34" s="47" t="s">
        <v>93</v>
      </c>
      <c r="J34" s="21">
        <f>J33+E48</f>
        <v>1228.905</v>
      </c>
      <c r="K34" s="21">
        <f t="shared" si="4"/>
        <v>273.375</v>
      </c>
      <c r="L34" s="21">
        <f t="shared" si="0"/>
        <v>2069.0842499999999</v>
      </c>
      <c r="M34" s="21">
        <f t="shared" si="1"/>
        <v>1502.28</v>
      </c>
      <c r="N34" s="21">
        <f>M34/(K43*K44)*10</f>
        <v>2003.04</v>
      </c>
      <c r="O34" s="21">
        <f t="shared" si="3"/>
        <v>44.755334877531638</v>
      </c>
      <c r="P34" s="21" t="s">
        <v>120</v>
      </c>
      <c r="Q34" s="21" t="s">
        <v>137</v>
      </c>
      <c r="R34" s="21" t="str">
        <f t="shared" si="2"/>
        <v>Ok</v>
      </c>
    </row>
    <row r="35" spans="1:18">
      <c r="A35" s="5" t="s">
        <v>82</v>
      </c>
      <c r="C35" s="56"/>
      <c r="I35" s="47" t="s">
        <v>94</v>
      </c>
      <c r="J35" s="21">
        <f>J34+E48</f>
        <v>1380.915</v>
      </c>
      <c r="K35" s="21">
        <f t="shared" si="4"/>
        <v>298.6875</v>
      </c>
      <c r="L35" s="21">
        <f t="shared" si="0"/>
        <v>2312.2665000000002</v>
      </c>
      <c r="M35" s="21">
        <f t="shared" si="1"/>
        <v>1679.6025</v>
      </c>
      <c r="N35" s="21">
        <f>M35/(K43*K44)*10</f>
        <v>2239.4700000000003</v>
      </c>
      <c r="O35" s="21">
        <f t="shared" si="3"/>
        <v>47.323038786620629</v>
      </c>
      <c r="P35" s="21" t="s">
        <v>120</v>
      </c>
      <c r="Q35" s="21" t="s">
        <v>136</v>
      </c>
      <c r="R35" s="21" t="str">
        <f t="shared" si="2"/>
        <v>Ok</v>
      </c>
    </row>
    <row r="36" spans="1:18">
      <c r="C36" s="57"/>
      <c r="D36" s="56" t="s">
        <v>81</v>
      </c>
      <c r="E36" s="56">
        <f>D28+F30+F31+D33+C35</f>
        <v>164.83499999999998</v>
      </c>
      <c r="I36" s="47" t="s">
        <v>133</v>
      </c>
      <c r="J36" s="21">
        <f>J35+E48</f>
        <v>1532.925</v>
      </c>
      <c r="K36" s="21">
        <f t="shared" si="4"/>
        <v>324</v>
      </c>
      <c r="L36" s="21">
        <f t="shared" si="0"/>
        <v>2555.44875</v>
      </c>
      <c r="M36" s="21">
        <f t="shared" si="1"/>
        <v>1856.925</v>
      </c>
      <c r="N36" s="21">
        <f>M36/(K43*K44)*10</f>
        <v>2475.9</v>
      </c>
      <c r="O36" s="21">
        <f t="shared" si="3"/>
        <v>49.758416373514137</v>
      </c>
      <c r="P36" s="21" t="s">
        <v>120</v>
      </c>
      <c r="Q36" s="21" t="s">
        <v>136</v>
      </c>
      <c r="R36" s="21" t="str">
        <f t="shared" si="2"/>
        <v>Ok</v>
      </c>
    </row>
    <row r="37" spans="1:18">
      <c r="B37" s="6" t="s">
        <v>75</v>
      </c>
      <c r="I37" s="47" t="s">
        <v>134</v>
      </c>
      <c r="J37" s="21">
        <f>J36+E58</f>
        <v>1645.6499999999999</v>
      </c>
      <c r="K37" s="21">
        <f t="shared" si="4"/>
        <v>0</v>
      </c>
      <c r="L37" s="21">
        <f t="shared" si="0"/>
        <v>2221.6275000000001</v>
      </c>
      <c r="M37" s="21">
        <f t="shared" si="1"/>
        <v>1645.6499999999999</v>
      </c>
      <c r="N37" s="21">
        <f>M37/(K43*K44)*10</f>
        <v>2194.1999999999998</v>
      </c>
      <c r="O37" s="21">
        <f t="shared" si="3"/>
        <v>46.842288586276396</v>
      </c>
      <c r="P37" s="21" t="s">
        <v>120</v>
      </c>
      <c r="Q37" s="21" t="s">
        <v>136</v>
      </c>
      <c r="R37" s="21" t="str">
        <f t="shared" si="2"/>
        <v>Ok</v>
      </c>
    </row>
    <row r="38" spans="1:18" ht="18.75">
      <c r="B38" s="64" t="s">
        <v>79</v>
      </c>
      <c r="C38" s="64">
        <v>3.06</v>
      </c>
      <c r="D38" s="67" t="s">
        <v>80</v>
      </c>
      <c r="E38" s="64">
        <v>0.21</v>
      </c>
      <c r="I38"/>
      <c r="J38"/>
      <c r="K38"/>
      <c r="L38"/>
      <c r="M38"/>
      <c r="N38"/>
      <c r="O38"/>
      <c r="P38"/>
      <c r="Q38"/>
      <c r="R38"/>
    </row>
    <row r="39" spans="1:18">
      <c r="B39" s="65" t="s">
        <v>61</v>
      </c>
      <c r="C39" s="65" t="s">
        <v>76</v>
      </c>
      <c r="D39" s="65" t="s">
        <v>66</v>
      </c>
    </row>
    <row r="40" spans="1:18">
      <c r="A40" s="5" t="s">
        <v>62</v>
      </c>
      <c r="B40" s="6">
        <v>20.25</v>
      </c>
      <c r="C40" s="6">
        <v>5.69</v>
      </c>
      <c r="D40" s="56">
        <f>C40*B40</f>
        <v>115.22250000000001</v>
      </c>
    </row>
    <row r="41" spans="1:18" ht="19.5">
      <c r="B41" s="65" t="s">
        <v>71</v>
      </c>
      <c r="C41" s="65" t="s">
        <v>70</v>
      </c>
      <c r="D41" s="65" t="s">
        <v>69</v>
      </c>
      <c r="E41" s="66" t="s">
        <v>68</v>
      </c>
      <c r="F41" s="65" t="s">
        <v>84</v>
      </c>
      <c r="J41" s="42" t="s">
        <v>112</v>
      </c>
      <c r="L41" s="42" t="s">
        <v>121</v>
      </c>
    </row>
    <row r="42" spans="1:18">
      <c r="A42" s="63" t="s">
        <v>63</v>
      </c>
      <c r="B42" s="64">
        <v>0.3</v>
      </c>
      <c r="C42" s="64">
        <v>0.45</v>
      </c>
      <c r="D42" s="64">
        <v>4.5</v>
      </c>
      <c r="E42" s="64">
        <v>25</v>
      </c>
      <c r="F42" s="10">
        <f>B42*C42*D42*E42</f>
        <v>15.187500000000002</v>
      </c>
      <c r="J42" s="6" t="s">
        <v>113</v>
      </c>
    </row>
    <row r="43" spans="1:18">
      <c r="A43" s="63" t="s">
        <v>65</v>
      </c>
      <c r="B43" s="64">
        <v>0.3</v>
      </c>
      <c r="C43" s="64">
        <v>0.45</v>
      </c>
      <c r="D43" s="64">
        <v>4.5</v>
      </c>
      <c r="E43" s="64">
        <v>25</v>
      </c>
      <c r="F43" s="10">
        <f>B43*C43*D43*E43</f>
        <v>15.187500000000002</v>
      </c>
      <c r="J43" s="6" t="s">
        <v>114</v>
      </c>
      <c r="K43" s="6">
        <v>0.3</v>
      </c>
    </row>
    <row r="44" spans="1:18" ht="18.75">
      <c r="B44" s="65" t="s">
        <v>64</v>
      </c>
      <c r="C44" s="65" t="s">
        <v>70</v>
      </c>
      <c r="D44" s="65" t="s">
        <v>78</v>
      </c>
      <c r="E44" s="66" t="s">
        <v>68</v>
      </c>
      <c r="F44" s="65" t="s">
        <v>84</v>
      </c>
      <c r="J44" s="6" t="s">
        <v>130</v>
      </c>
      <c r="K44" s="6">
        <v>25</v>
      </c>
    </row>
    <row r="45" spans="1:18">
      <c r="A45" s="63" t="s">
        <v>77</v>
      </c>
      <c r="B45" s="64">
        <v>0.3</v>
      </c>
      <c r="C45" s="64">
        <v>0.3</v>
      </c>
      <c r="D45" s="56">
        <f>C38-E38</f>
        <v>2.85</v>
      </c>
      <c r="E45" s="64">
        <v>25</v>
      </c>
      <c r="F45" s="10">
        <f>B45*C45*D45*E45</f>
        <v>6.4125000000000005</v>
      </c>
    </row>
    <row r="46" spans="1:18">
      <c r="C46" s="64" t="s">
        <v>84</v>
      </c>
    </row>
    <row r="47" spans="1:18">
      <c r="A47" s="5" t="s">
        <v>82</v>
      </c>
      <c r="C47" s="56"/>
    </row>
    <row r="48" spans="1:18">
      <c r="D48" s="56" t="s">
        <v>83</v>
      </c>
      <c r="E48" s="56">
        <f>D40+F42+F43+F45+C47</f>
        <v>152.01000000000002</v>
      </c>
    </row>
    <row r="49" spans="1:6">
      <c r="B49" s="6" t="s">
        <v>138</v>
      </c>
    </row>
    <row r="50" spans="1:6" ht="18.75">
      <c r="B50" s="65" t="s">
        <v>71</v>
      </c>
      <c r="C50" s="65" t="s">
        <v>70</v>
      </c>
      <c r="D50" s="65" t="s">
        <v>139</v>
      </c>
      <c r="E50" s="66" t="s">
        <v>68</v>
      </c>
      <c r="F50" s="65" t="s">
        <v>84</v>
      </c>
    </row>
    <row r="51" spans="1:6">
      <c r="A51" s="63" t="s">
        <v>62</v>
      </c>
      <c r="B51" s="64">
        <v>4.5</v>
      </c>
      <c r="C51" s="64">
        <v>4.5</v>
      </c>
      <c r="D51" s="64">
        <v>0.15</v>
      </c>
      <c r="E51" s="64">
        <v>25</v>
      </c>
      <c r="F51" s="63">
        <f>B51*C51*D51*E51</f>
        <v>75.9375</v>
      </c>
    </row>
    <row r="52" spans="1:6" ht="18.75">
      <c r="B52" s="65" t="s">
        <v>71</v>
      </c>
      <c r="C52" s="65" t="s">
        <v>70</v>
      </c>
      <c r="D52" s="65" t="s">
        <v>69</v>
      </c>
      <c r="E52" s="66" t="s">
        <v>68</v>
      </c>
      <c r="F52" s="65" t="s">
        <v>84</v>
      </c>
    </row>
    <row r="53" spans="1:6">
      <c r="A53" s="63" t="s">
        <v>63</v>
      </c>
      <c r="B53" s="64">
        <v>0.3</v>
      </c>
      <c r="C53" s="64">
        <v>0.45</v>
      </c>
      <c r="D53" s="64">
        <v>4.5</v>
      </c>
      <c r="E53" s="64">
        <v>25</v>
      </c>
      <c r="F53" s="10">
        <f>B53*C53*D53*E53</f>
        <v>15.187500000000002</v>
      </c>
    </row>
    <row r="54" spans="1:6">
      <c r="A54" s="63" t="s">
        <v>65</v>
      </c>
      <c r="B54" s="64">
        <v>0.3</v>
      </c>
      <c r="C54" s="64">
        <v>0.45</v>
      </c>
      <c r="D54" s="64">
        <v>4.5</v>
      </c>
      <c r="E54" s="64">
        <v>25</v>
      </c>
      <c r="F54" s="10">
        <f>B54*C54*D54*E54</f>
        <v>15.187500000000002</v>
      </c>
    </row>
    <row r="55" spans="1:6" ht="18.75">
      <c r="B55" s="65" t="s">
        <v>64</v>
      </c>
      <c r="C55" s="65" t="s">
        <v>70</v>
      </c>
      <c r="D55" s="65" t="s">
        <v>78</v>
      </c>
      <c r="E55" s="66" t="s">
        <v>68</v>
      </c>
      <c r="F55" s="65" t="s">
        <v>84</v>
      </c>
    </row>
    <row r="56" spans="1:6">
      <c r="A56" s="63" t="s">
        <v>77</v>
      </c>
      <c r="B56" s="64">
        <v>0.3</v>
      </c>
      <c r="C56" s="64">
        <v>0.3</v>
      </c>
      <c r="D56" s="56">
        <f>C38-E38</f>
        <v>2.85</v>
      </c>
      <c r="E56" s="64">
        <v>25</v>
      </c>
      <c r="F56" s="10">
        <f>B56*C56*D56*E56</f>
        <v>6.4125000000000005</v>
      </c>
    </row>
    <row r="57" spans="1:6">
      <c r="A57" s="12"/>
      <c r="B57" s="57"/>
      <c r="C57" s="57"/>
      <c r="D57" s="57"/>
      <c r="E57" s="57"/>
      <c r="F57" s="12"/>
    </row>
    <row r="58" spans="1:6">
      <c r="A58" s="12"/>
      <c r="B58" s="57"/>
      <c r="C58" s="57"/>
      <c r="D58" s="56" t="s">
        <v>140</v>
      </c>
      <c r="E58" s="56">
        <f>F51+F53+F54+F56</f>
        <v>112.72499999999999</v>
      </c>
      <c r="F58" s="12"/>
    </row>
    <row r="59" spans="1:6">
      <c r="B59" s="6" t="s">
        <v>124</v>
      </c>
    </row>
    <row r="61" spans="1:6">
      <c r="B61" s="44" t="s">
        <v>86</v>
      </c>
      <c r="C61" s="44" t="s">
        <v>96</v>
      </c>
      <c r="D61" s="45" t="s">
        <v>123</v>
      </c>
      <c r="E61" s="45" t="s">
        <v>122</v>
      </c>
      <c r="F61" s="46" t="s">
        <v>108</v>
      </c>
    </row>
    <row r="62" spans="1:6">
      <c r="B62" s="47" t="s">
        <v>97</v>
      </c>
      <c r="C62" s="40" t="s">
        <v>98</v>
      </c>
      <c r="D62" s="41">
        <v>1</v>
      </c>
      <c r="E62" s="41">
        <f>D62</f>
        <v>1</v>
      </c>
      <c r="F62" s="21">
        <f>E62*B28</f>
        <v>20.25</v>
      </c>
    </row>
    <row r="63" spans="1:6">
      <c r="B63" s="47" t="s">
        <v>87</v>
      </c>
      <c r="C63" s="40" t="s">
        <v>99</v>
      </c>
      <c r="D63" s="41">
        <v>2.5</v>
      </c>
      <c r="E63" s="41">
        <f>D62+D63</f>
        <v>3.5</v>
      </c>
      <c r="F63" s="21">
        <f>E63*B40</f>
        <v>70.875</v>
      </c>
    </row>
    <row r="64" spans="1:6">
      <c r="B64" s="47" t="s">
        <v>88</v>
      </c>
      <c r="C64" s="40" t="s">
        <v>100</v>
      </c>
      <c r="D64" s="41">
        <v>2.5</v>
      </c>
      <c r="E64" s="41">
        <f>E62+0.95*(D63+D64)</f>
        <v>5.75</v>
      </c>
      <c r="F64" s="21">
        <f>E64*B40</f>
        <v>116.4375</v>
      </c>
    </row>
    <row r="65" spans="2:6">
      <c r="B65" s="47" t="s">
        <v>89</v>
      </c>
      <c r="C65" s="40" t="s">
        <v>101</v>
      </c>
      <c r="D65" s="41">
        <v>2.5</v>
      </c>
      <c r="E65" s="41">
        <f>D62+0.9*(D63+D64+D65)</f>
        <v>7.75</v>
      </c>
      <c r="F65" s="21">
        <f>E65*B40</f>
        <v>156.9375</v>
      </c>
    </row>
    <row r="66" spans="2:6">
      <c r="B66" s="47" t="s">
        <v>90</v>
      </c>
      <c r="C66" s="40" t="s">
        <v>102</v>
      </c>
      <c r="D66" s="41">
        <v>2.5</v>
      </c>
      <c r="E66" s="41">
        <f>D62+0.85*(D63+D64+D65+D66)</f>
        <v>9.5</v>
      </c>
      <c r="F66" s="21">
        <f>E66*B40</f>
        <v>192.375</v>
      </c>
    </row>
    <row r="67" spans="2:6">
      <c r="B67" s="47" t="s">
        <v>91</v>
      </c>
      <c r="C67" s="40" t="s">
        <v>103</v>
      </c>
      <c r="D67" s="41">
        <v>2.5</v>
      </c>
      <c r="E67" s="41">
        <f>D62+0.8*(D63+D64+D65+D66+D67)</f>
        <v>11</v>
      </c>
      <c r="F67" s="21">
        <f>E67*B40</f>
        <v>222.75</v>
      </c>
    </row>
    <row r="68" spans="2:6">
      <c r="B68" s="47" t="s">
        <v>92</v>
      </c>
      <c r="C68" s="40" t="s">
        <v>104</v>
      </c>
      <c r="D68" s="41">
        <v>2.5</v>
      </c>
      <c r="E68" s="41">
        <f>D62+0.75*(D63+D64+D65+D66+D67+D68)</f>
        <v>12.25</v>
      </c>
      <c r="F68" s="21">
        <f>E68*B40</f>
        <v>248.0625</v>
      </c>
    </row>
    <row r="69" spans="2:6">
      <c r="B69" s="47" t="s">
        <v>93</v>
      </c>
      <c r="C69" s="40" t="s">
        <v>105</v>
      </c>
      <c r="D69" s="41">
        <v>2.5</v>
      </c>
      <c r="E69" s="41">
        <f>D62+(3+7)/(2*7)*(D63+D64+D65+D66+D67+D68+D69)</f>
        <v>13.5</v>
      </c>
      <c r="F69" s="21">
        <f>E69*B40</f>
        <v>273.375</v>
      </c>
    </row>
    <row r="70" spans="2:6">
      <c r="B70" s="47" t="s">
        <v>94</v>
      </c>
      <c r="C70" s="40" t="s">
        <v>106</v>
      </c>
      <c r="D70" s="41">
        <v>2.5</v>
      </c>
      <c r="E70" s="41">
        <f>D62+(3+8)/(2*8)*(D63+D64+D65+D66+D67+D68+D69+D70)</f>
        <v>14.75</v>
      </c>
      <c r="F70" s="21">
        <f>E70*B40</f>
        <v>298.6875</v>
      </c>
    </row>
    <row r="71" spans="2:6">
      <c r="B71" s="47" t="s">
        <v>133</v>
      </c>
      <c r="C71" s="40" t="s">
        <v>107</v>
      </c>
      <c r="D71" s="41">
        <v>2.5</v>
      </c>
      <c r="E71" s="41">
        <f>D62+(3+9)/(2*9)*(D63+D64+D65+D66+D67+D68+D69+D70+D71)</f>
        <v>16</v>
      </c>
      <c r="F71" s="21">
        <f>E71*B40</f>
        <v>324</v>
      </c>
    </row>
    <row r="72" spans="2:6">
      <c r="B72"/>
      <c r="C72"/>
      <c r="D72"/>
      <c r="E72"/>
      <c r="F72"/>
    </row>
    <row r="73" spans="2:6">
      <c r="B73"/>
      <c r="C73"/>
      <c r="D73"/>
      <c r="E73"/>
      <c r="F73"/>
    </row>
    <row r="76" spans="2:6" ht="18.75">
      <c r="B76" s="54" t="s">
        <v>129</v>
      </c>
    </row>
    <row r="77" spans="2:6">
      <c r="C77" s="62" t="s">
        <v>131</v>
      </c>
      <c r="D77" s="62" t="s">
        <v>132</v>
      </c>
      <c r="E77" s="62" t="s">
        <v>4</v>
      </c>
    </row>
    <row r="78" spans="2:6">
      <c r="C78" s="61">
        <v>408</v>
      </c>
      <c r="D78" s="61">
        <v>21</v>
      </c>
      <c r="E78" s="61">
        <f>C78-D78</f>
        <v>387</v>
      </c>
    </row>
    <row r="79" spans="2:6">
      <c r="B79" s="56" t="s">
        <v>128</v>
      </c>
      <c r="C79" s="56">
        <f xml:space="preserve"> MAX( E78/22,E78/25)</f>
        <v>17.59090909090909</v>
      </c>
    </row>
    <row r="81" spans="2:10">
      <c r="B81" s="6" t="s">
        <v>127</v>
      </c>
      <c r="C81" s="56" t="str">
        <f>IF(C79&gt;=15,"Ok","Augmenter a")</f>
        <v>Ok</v>
      </c>
    </row>
    <row r="87" spans="2:10">
      <c r="I87" s="5"/>
      <c r="J87" s="5"/>
    </row>
    <row r="88" spans="2:10">
      <c r="I88" s="5"/>
      <c r="J88" s="5"/>
    </row>
    <row r="89" spans="2:10">
      <c r="I89" s="5"/>
      <c r="J89" s="5"/>
    </row>
    <row r="90" spans="2:10">
      <c r="I90" s="5"/>
      <c r="J90" s="5"/>
    </row>
    <row r="91" spans="2:10">
      <c r="I91" s="5"/>
      <c r="J91" s="5"/>
    </row>
    <row r="92" spans="2:10">
      <c r="I92" s="5"/>
      <c r="J92" s="5"/>
    </row>
    <row r="93" spans="2:10">
      <c r="I93" s="5"/>
      <c r="J93" s="5"/>
    </row>
    <row r="94" spans="2:10">
      <c r="I94" s="5"/>
      <c r="J94" s="5"/>
    </row>
    <row r="95" spans="2:10">
      <c r="I95" s="5"/>
      <c r="J95" s="5"/>
    </row>
    <row r="97" spans="3:3">
      <c r="C97" s="60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F8"/>
  <sheetViews>
    <sheetView workbookViewId="0">
      <selection activeCell="D14" sqref="D14"/>
    </sheetView>
  </sheetViews>
  <sheetFormatPr baseColWidth="10" defaultRowHeight="15"/>
  <sheetData>
    <row r="1" spans="1:6" ht="18.75">
      <c r="B1" s="3" t="s">
        <v>8</v>
      </c>
      <c r="C1" s="3"/>
      <c r="D1" s="3"/>
    </row>
    <row r="3" spans="1:6">
      <c r="A3" s="1" t="s">
        <v>1</v>
      </c>
      <c r="B3" s="1">
        <v>450</v>
      </c>
    </row>
    <row r="4" spans="1:6" ht="18.75">
      <c r="D4" s="2">
        <f>B3/35</f>
        <v>12.857142857142858</v>
      </c>
      <c r="E4" s="2" t="s">
        <v>0</v>
      </c>
      <c r="F4" s="2">
        <f>B3/30</f>
        <v>15</v>
      </c>
    </row>
    <row r="6" spans="1:6" ht="18.75">
      <c r="D6" s="15">
        <f>B3/50</f>
        <v>9</v>
      </c>
      <c r="E6" s="2" t="s">
        <v>0</v>
      </c>
      <c r="F6" s="15">
        <f>B3/40</f>
        <v>11.25</v>
      </c>
    </row>
    <row r="7" spans="1:6" s="13" customFormat="1" ht="18.75">
      <c r="E7" s="14"/>
    </row>
    <row r="8" spans="1:6" ht="18.75">
      <c r="B8" s="3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F44"/>
  <sheetViews>
    <sheetView workbookViewId="0">
      <selection activeCell="E34" sqref="E34"/>
    </sheetView>
  </sheetViews>
  <sheetFormatPr baseColWidth="10" defaultRowHeight="15"/>
  <cols>
    <col min="1" max="1" width="36.85546875" customWidth="1"/>
    <col min="2" max="2" width="14.28515625" style="24" customWidth="1"/>
    <col min="3" max="3" width="12.28515625" style="24" customWidth="1"/>
    <col min="4" max="4" width="23.28515625" style="24" customWidth="1"/>
  </cols>
  <sheetData>
    <row r="1" spans="1:6" ht="18.75">
      <c r="A1" s="4" t="s">
        <v>31</v>
      </c>
    </row>
    <row r="2" spans="1:6" ht="15.75" thickBot="1"/>
    <row r="3" spans="1:6" ht="16.5" thickTop="1" thickBot="1">
      <c r="A3" s="18" t="s">
        <v>20</v>
      </c>
      <c r="B3" s="20" t="s">
        <v>24</v>
      </c>
      <c r="C3" s="20" t="s">
        <v>25</v>
      </c>
      <c r="D3" s="20" t="s">
        <v>26</v>
      </c>
      <c r="E3" s="18" t="s">
        <v>27</v>
      </c>
    </row>
    <row r="4" spans="1:6" ht="17.25" thickTop="1" thickBot="1">
      <c r="A4" s="19" t="s">
        <v>29</v>
      </c>
      <c r="B4" s="25">
        <v>2.85</v>
      </c>
      <c r="C4" s="25" t="s">
        <v>47</v>
      </c>
      <c r="D4" s="25">
        <v>3.6</v>
      </c>
      <c r="E4" s="25">
        <v>4</v>
      </c>
    </row>
    <row r="5" spans="1:6" ht="17.25" thickTop="1" thickBot="1">
      <c r="A5" s="19" t="s">
        <v>21</v>
      </c>
      <c r="B5" s="22">
        <v>6.44</v>
      </c>
      <c r="C5" s="22">
        <v>6.64</v>
      </c>
      <c r="D5" s="22">
        <v>7.19</v>
      </c>
      <c r="E5" s="22">
        <v>7.59</v>
      </c>
      <c r="F5" t="s">
        <v>57</v>
      </c>
    </row>
    <row r="6" spans="1:6" ht="17.25" thickTop="1" thickBot="1">
      <c r="A6" s="19" t="s">
        <v>22</v>
      </c>
      <c r="B6" s="22">
        <v>6.18</v>
      </c>
      <c r="C6" s="22">
        <v>7.18</v>
      </c>
      <c r="D6" s="22">
        <v>7.73</v>
      </c>
      <c r="E6" s="22">
        <v>8.1300000000000008</v>
      </c>
      <c r="F6">
        <v>4.13</v>
      </c>
    </row>
    <row r="7" spans="1:6" ht="17.25" thickTop="1" thickBot="1">
      <c r="A7" s="19" t="s">
        <v>23</v>
      </c>
      <c r="B7" s="22">
        <v>5.49</v>
      </c>
      <c r="C7" s="22">
        <v>5.69</v>
      </c>
      <c r="D7" s="22">
        <v>6.24</v>
      </c>
      <c r="E7" s="22">
        <v>6.64</v>
      </c>
      <c r="F7">
        <v>2.64</v>
      </c>
    </row>
    <row r="8" spans="1:6" ht="15.75" thickTop="1"/>
    <row r="9" spans="1:6" ht="18.75">
      <c r="A9" s="4" t="s">
        <v>30</v>
      </c>
    </row>
    <row r="10" spans="1:6" ht="15.75" thickBot="1"/>
    <row r="11" spans="1:6" ht="16.5" thickTop="1" thickBot="1">
      <c r="A11" s="18" t="s">
        <v>20</v>
      </c>
      <c r="B11" s="20" t="s">
        <v>28</v>
      </c>
      <c r="C11" s="20" t="s">
        <v>26</v>
      </c>
      <c r="D11" s="20" t="s">
        <v>27</v>
      </c>
    </row>
    <row r="12" spans="1:6" ht="17.25" thickTop="1" thickBot="1">
      <c r="A12" s="19" t="s">
        <v>29</v>
      </c>
      <c r="B12" s="22">
        <v>2</v>
      </c>
      <c r="C12" s="22">
        <v>2.2000000000000002</v>
      </c>
      <c r="D12" s="22">
        <v>2.8</v>
      </c>
    </row>
    <row r="13" spans="1:6" ht="17.25" thickTop="1" thickBot="1">
      <c r="A13" s="19" t="s">
        <v>21</v>
      </c>
      <c r="B13" s="21">
        <v>5.59</v>
      </c>
      <c r="C13" s="21">
        <v>5.79</v>
      </c>
      <c r="D13" s="21">
        <v>6.39</v>
      </c>
    </row>
    <row r="14" spans="1:6" ht="17.25" thickTop="1" thickBot="1">
      <c r="A14" s="19" t="s">
        <v>22</v>
      </c>
      <c r="B14" s="21">
        <v>6.13</v>
      </c>
      <c r="C14" s="21">
        <v>6.5</v>
      </c>
      <c r="D14" s="21">
        <v>6.93</v>
      </c>
    </row>
    <row r="15" spans="1:6" ht="17.25" thickTop="1" thickBot="1">
      <c r="A15" s="19" t="s">
        <v>23</v>
      </c>
      <c r="B15" s="21">
        <v>4.6399999999999997</v>
      </c>
      <c r="C15" s="21">
        <v>4.84</v>
      </c>
      <c r="D15" s="21">
        <v>5.44</v>
      </c>
    </row>
    <row r="16" spans="1:6" ht="15.75" thickTop="1"/>
    <row r="17" spans="1:4">
      <c r="A17" t="s">
        <v>32</v>
      </c>
    </row>
    <row r="18" spans="1:4" ht="15.75" thickBot="1">
      <c r="A18" t="s">
        <v>33</v>
      </c>
    </row>
    <row r="19" spans="1:4" ht="16.5" thickTop="1" thickBot="1">
      <c r="B19" s="20" t="s">
        <v>34</v>
      </c>
      <c r="C19" s="20" t="s">
        <v>37</v>
      </c>
      <c r="D19" s="20" t="s">
        <v>38</v>
      </c>
    </row>
    <row r="20" spans="1:4" ht="16.5" thickTop="1" thickBot="1">
      <c r="A20" s="20" t="s">
        <v>35</v>
      </c>
      <c r="B20" s="21">
        <v>0.02</v>
      </c>
      <c r="C20" s="21">
        <v>10</v>
      </c>
      <c r="D20" s="21">
        <f>C20*B20</f>
        <v>0.2</v>
      </c>
    </row>
    <row r="21" spans="1:4" ht="16.5" thickTop="1" thickBot="1">
      <c r="A21" s="20" t="s">
        <v>36</v>
      </c>
      <c r="B21" s="21">
        <v>0.1</v>
      </c>
      <c r="C21" s="21">
        <v>9</v>
      </c>
      <c r="D21" s="21">
        <f>C21*B21</f>
        <v>0.9</v>
      </c>
    </row>
    <row r="22" spans="1:4" ht="16.5" thickTop="1" thickBot="1">
      <c r="A22" s="20" t="s">
        <v>35</v>
      </c>
      <c r="B22" s="21">
        <v>0.02</v>
      </c>
      <c r="C22" s="21">
        <v>10</v>
      </c>
      <c r="D22" s="21">
        <f>C22*B22</f>
        <v>0.2</v>
      </c>
    </row>
    <row r="23" spans="1:4" ht="15.75" thickTop="1">
      <c r="A23" s="24"/>
      <c r="C23" s="21" t="s">
        <v>40</v>
      </c>
      <c r="D23" s="21">
        <f>SUM(D20:D22)</f>
        <v>1.3</v>
      </c>
    </row>
    <row r="25" spans="1:4" ht="15.75" thickBot="1">
      <c r="A25" t="s">
        <v>41</v>
      </c>
    </row>
    <row r="26" spans="1:4" ht="16.5" thickTop="1" thickBot="1">
      <c r="B26" s="20" t="s">
        <v>34</v>
      </c>
      <c r="C26" s="20" t="s">
        <v>37</v>
      </c>
      <c r="D26" s="20" t="s">
        <v>38</v>
      </c>
    </row>
    <row r="27" spans="1:4" ht="16.5" thickTop="1" thickBot="1">
      <c r="A27" s="18" t="s">
        <v>42</v>
      </c>
      <c r="B27" s="21">
        <v>0.1</v>
      </c>
      <c r="C27" s="21">
        <v>9</v>
      </c>
      <c r="D27" s="21">
        <f>C27*B27</f>
        <v>0.9</v>
      </c>
    </row>
    <row r="28" spans="1:4" ht="16.5" thickTop="1" thickBot="1">
      <c r="A28" s="23" t="s">
        <v>43</v>
      </c>
      <c r="B28" s="21">
        <v>0.1</v>
      </c>
      <c r="C28" s="21">
        <v>0</v>
      </c>
      <c r="D28" s="21">
        <v>0</v>
      </c>
    </row>
    <row r="29" spans="1:4" ht="16.5" thickTop="1" thickBot="1">
      <c r="A29" s="18" t="s">
        <v>44</v>
      </c>
      <c r="B29" s="21">
        <v>0.15</v>
      </c>
      <c r="C29" s="21">
        <v>9</v>
      </c>
      <c r="D29" s="21">
        <f>C29*B29</f>
        <v>1.3499999999999999</v>
      </c>
    </row>
    <row r="30" spans="1:4" ht="16.5" thickTop="1" thickBot="1">
      <c r="A30" s="23" t="s">
        <v>45</v>
      </c>
      <c r="B30" s="21">
        <v>0.02</v>
      </c>
      <c r="C30" s="21">
        <v>10</v>
      </c>
      <c r="D30" s="21">
        <f>C30*B30</f>
        <v>0.2</v>
      </c>
    </row>
    <row r="31" spans="1:4" ht="16.5" thickTop="1" thickBot="1">
      <c r="A31" s="23" t="s">
        <v>46</v>
      </c>
      <c r="B31" s="21">
        <v>0.02</v>
      </c>
      <c r="C31" s="21">
        <v>18</v>
      </c>
      <c r="D31" s="21">
        <f>C31*B31</f>
        <v>0.36</v>
      </c>
    </row>
    <row r="32" spans="1:4" ht="15.75" thickTop="1">
      <c r="C32" s="21" t="s">
        <v>39</v>
      </c>
      <c r="D32" s="21">
        <f>SUM(D27:D31)</f>
        <v>2.81</v>
      </c>
    </row>
    <row r="34" spans="1:4">
      <c r="A34" t="s">
        <v>48</v>
      </c>
    </row>
    <row r="35" spans="1:4" ht="15.75" thickBot="1"/>
    <row r="36" spans="1:4" ht="16.5" thickTop="1" thickBot="1">
      <c r="A36" s="18" t="s">
        <v>16</v>
      </c>
      <c r="B36" s="18" t="s">
        <v>17</v>
      </c>
      <c r="C36" s="18" t="s">
        <v>49</v>
      </c>
      <c r="D36" s="18" t="s">
        <v>56</v>
      </c>
    </row>
    <row r="37" spans="1:4" ht="17.25" thickTop="1" thickBot="1">
      <c r="A37" s="39" t="s">
        <v>50</v>
      </c>
      <c r="B37" s="26">
        <v>2</v>
      </c>
      <c r="C37" s="27">
        <v>25</v>
      </c>
      <c r="D37" s="28">
        <f>(B37*C37)/100</f>
        <v>0.5</v>
      </c>
    </row>
    <row r="38" spans="1:4" ht="17.25" thickTop="1" thickBot="1">
      <c r="A38" s="39" t="s">
        <v>51</v>
      </c>
      <c r="B38" s="29">
        <v>2</v>
      </c>
      <c r="C38" s="30">
        <v>20</v>
      </c>
      <c r="D38" s="28">
        <f>(B38*C38)/100</f>
        <v>0.4</v>
      </c>
    </row>
    <row r="39" spans="1:4" ht="17.25" thickTop="1" thickBot="1">
      <c r="A39" s="39" t="s">
        <v>52</v>
      </c>
      <c r="B39" s="31">
        <v>2</v>
      </c>
      <c r="C39" s="27">
        <v>18</v>
      </c>
      <c r="D39" s="28">
        <f>(B39*C39)/100</f>
        <v>0.36</v>
      </c>
    </row>
    <row r="40" spans="1:4" ht="17.25" thickTop="1" thickBot="1">
      <c r="A40" s="39" t="s">
        <v>53</v>
      </c>
      <c r="B40" s="32">
        <v>15</v>
      </c>
      <c r="C40" s="30">
        <v>25</v>
      </c>
      <c r="D40" s="28">
        <f>(B40*C40)/100</f>
        <v>3.75</v>
      </c>
    </row>
    <row r="41" spans="1:4" ht="17.25" thickTop="1" thickBot="1">
      <c r="A41" s="39" t="s">
        <v>54</v>
      </c>
      <c r="B41" s="33">
        <v>2</v>
      </c>
      <c r="C41" s="30">
        <v>10</v>
      </c>
      <c r="D41" s="34">
        <f>(B41*C41)/100</f>
        <v>0.2</v>
      </c>
    </row>
    <row r="42" spans="1:4" ht="17.25" thickTop="1" thickBot="1">
      <c r="A42" s="18" t="s">
        <v>55</v>
      </c>
      <c r="B42" s="35" t="s">
        <v>18</v>
      </c>
      <c r="C42" s="35" t="s">
        <v>18</v>
      </c>
      <c r="D42" s="36">
        <v>0.15</v>
      </c>
    </row>
    <row r="43" spans="1:4" ht="16.5" thickTop="1" thickBot="1"/>
    <row r="44" spans="1:4" ht="15.75" thickBot="1">
      <c r="A44" s="16" t="s">
        <v>19</v>
      </c>
      <c r="B44" s="37"/>
      <c r="C44" s="38"/>
      <c r="D44" s="17">
        <f>D37+D38+D39+D40+D41+D42</f>
        <v>5.36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Eléments structuraux </vt:lpstr>
      <vt:lpstr>Eléments secondaires </vt:lpstr>
      <vt:lpstr>Charge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2017-05-14T12:38:21Z</dcterms:created>
  <dcterms:modified xsi:type="dcterms:W3CDTF">2017-05-25T16:57:20Z</dcterms:modified>
</cp:coreProperties>
</file>