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8" activeTab="1"/>
  </bookViews>
  <sheets>
    <sheet name="Avant métré" sheetId="1" r:id="rId1"/>
    <sheet name="DQE" sheetId="2" r:id="rId2"/>
    <sheet name="Feuil1" sheetId="3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4" i="2" l="1"/>
  <c r="I14" i="2"/>
  <c r="G154" i="2" l="1"/>
  <c r="G156" i="2"/>
  <c r="G157" i="2"/>
  <c r="G123" i="2"/>
  <c r="G125" i="2"/>
  <c r="G147" i="2"/>
  <c r="M129" i="1"/>
  <c r="E145" i="2"/>
  <c r="G145" i="2"/>
  <c r="M134" i="1"/>
  <c r="E150" i="2"/>
  <c r="G150" i="2"/>
  <c r="M136" i="1"/>
  <c r="E152" i="2"/>
  <c r="G152" i="2"/>
  <c r="M104" i="1"/>
  <c r="E119" i="2"/>
  <c r="G119" i="2"/>
  <c r="M85" i="1"/>
  <c r="E96" i="2"/>
  <c r="G96" i="2"/>
  <c r="M76" i="1"/>
  <c r="E86" i="2"/>
  <c r="G86" i="2"/>
  <c r="M79" i="1"/>
  <c r="E89" i="2"/>
  <c r="G89" i="2"/>
  <c r="M81" i="1"/>
  <c r="E91" i="2"/>
  <c r="G91" i="2"/>
  <c r="M69" i="1"/>
  <c r="E78" i="2"/>
  <c r="G78" i="2"/>
  <c r="M72" i="1"/>
  <c r="E81" i="2"/>
  <c r="G81" i="2"/>
  <c r="M65" i="1"/>
  <c r="E73" i="2"/>
  <c r="G73" i="2"/>
  <c r="L33" i="1"/>
  <c r="M33" i="1"/>
  <c r="E40" i="2"/>
  <c r="G40" i="2"/>
  <c r="L39" i="1"/>
  <c r="M39" i="1"/>
  <c r="E46" i="2"/>
  <c r="G46" i="2"/>
  <c r="L45" i="1"/>
  <c r="M45" i="1"/>
  <c r="E52" i="2"/>
  <c r="G52" i="2"/>
  <c r="I47" i="1"/>
  <c r="L47" i="1"/>
  <c r="M47" i="1"/>
  <c r="E54" i="2"/>
  <c r="G54" i="2"/>
  <c r="L21" i="1"/>
  <c r="M21" i="1"/>
  <c r="E27" i="2"/>
  <c r="G27" i="2"/>
  <c r="G7" i="2"/>
  <c r="G8" i="2"/>
  <c r="G9" i="2"/>
  <c r="J8" i="3"/>
  <c r="H10" i="3"/>
  <c r="J10" i="3"/>
  <c r="H11" i="3"/>
  <c r="J11" i="3"/>
  <c r="L11" i="3"/>
  <c r="H13" i="3"/>
  <c r="J13" i="3"/>
  <c r="H14" i="3"/>
  <c r="J14" i="3"/>
  <c r="H18" i="3"/>
  <c r="J18" i="3"/>
  <c r="H19" i="3"/>
  <c r="J19" i="3"/>
  <c r="H20" i="3"/>
  <c r="J20" i="3"/>
  <c r="H21" i="3"/>
  <c r="J21" i="3"/>
  <c r="L21" i="3"/>
  <c r="H22" i="3"/>
  <c r="J22" i="3"/>
  <c r="H23" i="3"/>
  <c r="J23" i="3"/>
  <c r="H24" i="3"/>
  <c r="J24" i="3"/>
  <c r="H25" i="3"/>
  <c r="J25" i="3"/>
  <c r="H26" i="3"/>
  <c r="J26" i="3"/>
  <c r="H27" i="3"/>
  <c r="J27" i="3"/>
  <c r="H28" i="3"/>
  <c r="J28" i="3"/>
  <c r="H29" i="3"/>
  <c r="J29" i="3"/>
  <c r="H30" i="3"/>
  <c r="J30" i="3"/>
  <c r="H31" i="3"/>
  <c r="J31" i="3"/>
  <c r="H34" i="3"/>
  <c r="J34" i="3"/>
  <c r="H35" i="3"/>
  <c r="J35" i="3"/>
  <c r="H36" i="3"/>
  <c r="J36" i="3"/>
  <c r="L36" i="3"/>
  <c r="H37" i="3"/>
  <c r="J37" i="3"/>
  <c r="H38" i="3"/>
  <c r="J38" i="3"/>
  <c r="H39" i="3"/>
  <c r="J39" i="3"/>
  <c r="H40" i="3"/>
  <c r="J40" i="3"/>
  <c r="H41" i="3"/>
  <c r="J41" i="3"/>
  <c r="H42" i="3"/>
  <c r="J42" i="3"/>
  <c r="H43" i="3"/>
  <c r="J43" i="3"/>
  <c r="H44" i="3"/>
  <c r="J44" i="3"/>
  <c r="H45" i="3"/>
  <c r="J45" i="3"/>
  <c r="H46" i="3"/>
  <c r="J46" i="3"/>
  <c r="H47" i="3"/>
  <c r="J47" i="3"/>
  <c r="H48" i="3"/>
  <c r="J48" i="3"/>
  <c r="H49" i="3"/>
  <c r="J49" i="3"/>
  <c r="H52" i="3"/>
  <c r="J52" i="3"/>
  <c r="H53" i="3"/>
  <c r="J53" i="3"/>
  <c r="H54" i="3"/>
  <c r="J54" i="3"/>
  <c r="H55" i="3"/>
  <c r="J55" i="3"/>
  <c r="H56" i="3"/>
  <c r="J56" i="3"/>
  <c r="H57" i="3"/>
  <c r="J57" i="3"/>
  <c r="H58" i="3"/>
  <c r="J58" i="3"/>
  <c r="H59" i="3"/>
  <c r="J59" i="3"/>
  <c r="H60" i="3"/>
  <c r="J60" i="3"/>
  <c r="H61" i="3"/>
  <c r="J61" i="3"/>
  <c r="H62" i="3"/>
  <c r="J62" i="3"/>
  <c r="H63" i="3"/>
  <c r="J63" i="3"/>
  <c r="H64" i="3"/>
  <c r="J64" i="3"/>
  <c r="H65" i="3"/>
  <c r="J65" i="3"/>
  <c r="H66" i="3"/>
  <c r="J66" i="3"/>
  <c r="H67" i="3"/>
  <c r="J67" i="3"/>
  <c r="H71" i="3"/>
  <c r="J71" i="3"/>
  <c r="J72" i="3"/>
  <c r="J73" i="3"/>
  <c r="J76" i="3"/>
  <c r="J77" i="3"/>
  <c r="J78" i="3"/>
  <c r="J80" i="3"/>
  <c r="J81" i="3"/>
  <c r="J82" i="3"/>
  <c r="J83" i="3"/>
  <c r="J86" i="3"/>
  <c r="J87" i="3"/>
  <c r="H88" i="3"/>
  <c r="J88" i="3"/>
  <c r="J90" i="3"/>
  <c r="J91" i="3"/>
  <c r="H92" i="3"/>
  <c r="J92" i="3"/>
  <c r="J93" i="3"/>
  <c r="J96" i="3"/>
  <c r="J97" i="3"/>
  <c r="J98" i="3"/>
  <c r="J99" i="3"/>
  <c r="J100" i="3"/>
  <c r="J102" i="3"/>
  <c r="J103" i="3"/>
  <c r="J104" i="3"/>
  <c r="J105" i="3"/>
  <c r="J106" i="3"/>
  <c r="J107" i="3"/>
  <c r="J109" i="3"/>
  <c r="J110" i="3"/>
  <c r="J111" i="3"/>
  <c r="J112" i="3"/>
  <c r="J113" i="3"/>
  <c r="J115" i="3"/>
  <c r="J116" i="3"/>
  <c r="J117" i="3"/>
  <c r="J119" i="3"/>
  <c r="J120" i="3"/>
  <c r="J124" i="3"/>
  <c r="J125" i="3"/>
  <c r="J126" i="3"/>
  <c r="J127" i="3"/>
  <c r="J128" i="3"/>
  <c r="J129" i="3"/>
  <c r="J130" i="3"/>
  <c r="J131" i="3"/>
  <c r="J132" i="3"/>
  <c r="J133" i="3"/>
  <c r="J134" i="3"/>
  <c r="J135" i="3"/>
  <c r="J136" i="3"/>
  <c r="J137" i="3"/>
  <c r="J138" i="3"/>
  <c r="J139" i="3"/>
  <c r="J140" i="3"/>
  <c r="J141" i="3"/>
  <c r="J142" i="3"/>
  <c r="J143" i="3"/>
  <c r="J144" i="3"/>
  <c r="J145" i="3"/>
  <c r="J146" i="3"/>
  <c r="J147" i="3"/>
  <c r="J148" i="3"/>
  <c r="J149" i="3"/>
  <c r="M113" i="1"/>
  <c r="E129" i="2"/>
  <c r="G129" i="2"/>
  <c r="M114" i="1"/>
  <c r="E130" i="2"/>
  <c r="G130" i="2"/>
  <c r="M115" i="1"/>
  <c r="E131" i="2"/>
  <c r="G131" i="2"/>
  <c r="M116" i="1"/>
  <c r="E132" i="2"/>
  <c r="G132" i="2"/>
  <c r="M117" i="1"/>
  <c r="E133" i="2"/>
  <c r="G133" i="2"/>
  <c r="M118" i="1"/>
  <c r="E134" i="2"/>
  <c r="G134" i="2"/>
  <c r="M119" i="1"/>
  <c r="E135" i="2"/>
  <c r="G135" i="2"/>
  <c r="M120" i="1"/>
  <c r="E136" i="2"/>
  <c r="G136" i="2"/>
  <c r="M121" i="1"/>
  <c r="E137" i="2"/>
  <c r="G137" i="2"/>
  <c r="M122" i="1"/>
  <c r="E138" i="2"/>
  <c r="G138" i="2"/>
  <c r="E139" i="2"/>
  <c r="G139" i="2"/>
  <c r="M124" i="1"/>
  <c r="E140" i="2"/>
  <c r="G140" i="2"/>
  <c r="M125" i="1"/>
  <c r="E141" i="2"/>
  <c r="G141" i="2"/>
  <c r="M126" i="1"/>
  <c r="E142" i="2"/>
  <c r="G142" i="2"/>
  <c r="M127" i="1"/>
  <c r="E143" i="2"/>
  <c r="G143" i="2"/>
  <c r="M128" i="1"/>
  <c r="E144" i="2"/>
  <c r="G144" i="2"/>
  <c r="M130" i="1"/>
  <c r="E146" i="2"/>
  <c r="G146" i="2"/>
  <c r="M132" i="1"/>
  <c r="E148" i="2"/>
  <c r="G148" i="2"/>
  <c r="M133" i="1"/>
  <c r="E149" i="2"/>
  <c r="G149" i="2"/>
  <c r="M135" i="1"/>
  <c r="E151" i="2"/>
  <c r="G151" i="2"/>
  <c r="M112" i="1"/>
  <c r="E128" i="2"/>
  <c r="G128" i="2"/>
  <c r="M103" i="1"/>
  <c r="E118" i="2"/>
  <c r="G118" i="2"/>
  <c r="L97" i="1"/>
  <c r="L100" i="1"/>
  <c r="L99" i="1"/>
  <c r="M98" i="1"/>
  <c r="E112" i="2"/>
  <c r="G112" i="2"/>
  <c r="M99" i="1"/>
  <c r="E113" i="2"/>
  <c r="G113" i="2"/>
  <c r="M100" i="1"/>
  <c r="E114" i="2"/>
  <c r="G114" i="2"/>
  <c r="M97" i="1"/>
  <c r="E111" i="2"/>
  <c r="G111" i="2"/>
  <c r="M93" i="1"/>
  <c r="E106" i="2"/>
  <c r="G106" i="2"/>
  <c r="L88" i="1"/>
  <c r="M88" i="1"/>
  <c r="E100" i="2"/>
  <c r="G100" i="2"/>
  <c r="L90" i="1"/>
  <c r="L89" i="1"/>
  <c r="M89" i="1"/>
  <c r="E101" i="2"/>
  <c r="G101" i="2"/>
  <c r="M90" i="1"/>
  <c r="E102" i="2"/>
  <c r="G102" i="2"/>
  <c r="L84" i="1"/>
  <c r="M84" i="1"/>
  <c r="E95" i="2"/>
  <c r="G95" i="2"/>
  <c r="M77" i="1"/>
  <c r="E87" i="2"/>
  <c r="G87" i="2"/>
  <c r="M80" i="1"/>
  <c r="E90" i="2"/>
  <c r="G90" i="2"/>
  <c r="M75" i="1"/>
  <c r="E85" i="2"/>
  <c r="G85" i="2"/>
  <c r="M71" i="1"/>
  <c r="E80" i="2"/>
  <c r="G80" i="2"/>
  <c r="M68" i="1"/>
  <c r="E77" i="2"/>
  <c r="G77" i="2"/>
  <c r="L64" i="1"/>
  <c r="M64" i="1"/>
  <c r="E72" i="2"/>
  <c r="G72" i="2"/>
  <c r="L62" i="1"/>
  <c r="M62" i="1"/>
  <c r="E69" i="2"/>
  <c r="G69" i="2"/>
  <c r="I62" i="1"/>
  <c r="I61" i="1"/>
  <c r="D61" i="1"/>
  <c r="I60" i="1"/>
  <c r="L60" i="1"/>
  <c r="M60" i="1"/>
  <c r="E67" i="2"/>
  <c r="G67" i="2"/>
  <c r="L59" i="1"/>
  <c r="M59" i="1"/>
  <c r="E66" i="2"/>
  <c r="G66" i="2"/>
  <c r="L58" i="1"/>
  <c r="M58" i="1"/>
  <c r="E65" i="2"/>
  <c r="G65" i="2"/>
  <c r="I57" i="1"/>
  <c r="D57" i="1"/>
  <c r="I56" i="1"/>
  <c r="L56" i="1"/>
  <c r="M56" i="1"/>
  <c r="E63" i="2"/>
  <c r="G63" i="2"/>
  <c r="L55" i="1"/>
  <c r="M55" i="1"/>
  <c r="E62" i="2"/>
  <c r="G62" i="2"/>
  <c r="L54" i="1"/>
  <c r="M54" i="1"/>
  <c r="E61" i="2"/>
  <c r="G61" i="2"/>
  <c r="L53" i="1"/>
  <c r="M53" i="1"/>
  <c r="E60" i="2"/>
  <c r="G60" i="2"/>
  <c r="I52" i="1"/>
  <c r="E52" i="1"/>
  <c r="E57" i="1"/>
  <c r="D52" i="1"/>
  <c r="I51" i="1"/>
  <c r="L51" i="1"/>
  <c r="M51" i="1"/>
  <c r="E58" i="2"/>
  <c r="G58" i="2"/>
  <c r="L50" i="1"/>
  <c r="M50" i="1"/>
  <c r="E57" i="2"/>
  <c r="G57" i="2"/>
  <c r="L46" i="1"/>
  <c r="M46" i="1"/>
  <c r="E53" i="2"/>
  <c r="G53" i="2"/>
  <c r="I44" i="1"/>
  <c r="L43" i="1"/>
  <c r="L44" i="1"/>
  <c r="M44" i="1"/>
  <c r="E51" i="2"/>
  <c r="G51" i="2"/>
  <c r="L42" i="1"/>
  <c r="D41" i="1"/>
  <c r="L38" i="1"/>
  <c r="D37" i="1"/>
  <c r="L35" i="1"/>
  <c r="M35" i="1"/>
  <c r="E42" i="2"/>
  <c r="G42" i="2"/>
  <c r="L34" i="1"/>
  <c r="M34" i="1"/>
  <c r="E41" i="2"/>
  <c r="G41" i="2"/>
  <c r="M38" i="1"/>
  <c r="E45" i="2"/>
  <c r="G45" i="2"/>
  <c r="M42" i="1"/>
  <c r="E49" i="2"/>
  <c r="G49" i="2"/>
  <c r="L26" i="1"/>
  <c r="D32" i="1"/>
  <c r="I32" i="1"/>
  <c r="I36" i="1"/>
  <c r="L36" i="1"/>
  <c r="M36" i="1"/>
  <c r="E43" i="2"/>
  <c r="G43" i="2"/>
  <c r="I37" i="1"/>
  <c r="I40" i="1"/>
  <c r="L40" i="1"/>
  <c r="M40" i="1"/>
  <c r="E47" i="2"/>
  <c r="G47" i="2"/>
  <c r="I41" i="1"/>
  <c r="I42" i="1"/>
  <c r="I43" i="1"/>
  <c r="I46" i="1"/>
  <c r="I48" i="1"/>
  <c r="L48" i="1"/>
  <c r="M48" i="1"/>
  <c r="E55" i="2"/>
  <c r="G55" i="2"/>
  <c r="L30" i="1"/>
  <c r="M30" i="1"/>
  <c r="E37" i="2"/>
  <c r="G37" i="2"/>
  <c r="I31" i="1"/>
  <c r="L31" i="1"/>
  <c r="M31" i="1"/>
  <c r="E38" i="2"/>
  <c r="G38" i="2"/>
  <c r="M26" i="1"/>
  <c r="E32" i="2"/>
  <c r="G32" i="2"/>
  <c r="E19" i="1"/>
  <c r="E25" i="1"/>
  <c r="D25" i="1"/>
  <c r="D17" i="1"/>
  <c r="I25" i="1"/>
  <c r="I24" i="1"/>
  <c r="L24" i="1"/>
  <c r="M24" i="1"/>
  <c r="E30" i="2"/>
  <c r="G30" i="2"/>
  <c r="I20" i="1"/>
  <c r="E20" i="1"/>
  <c r="E32" i="1"/>
  <c r="D20" i="1"/>
  <c r="G10" i="2"/>
  <c r="G120" i="2"/>
  <c r="G97" i="2"/>
  <c r="G115" i="2"/>
  <c r="G103" i="2"/>
  <c r="G92" i="2"/>
  <c r="G82" i="2"/>
  <c r="G74" i="2"/>
  <c r="J68" i="3"/>
  <c r="J50" i="3"/>
  <c r="J32" i="3"/>
  <c r="H15" i="3"/>
  <c r="J15" i="3"/>
  <c r="H12" i="3"/>
  <c r="J12" i="3"/>
  <c r="J16" i="3"/>
  <c r="J151" i="3"/>
  <c r="E61" i="1"/>
  <c r="L61" i="1"/>
  <c r="M61" i="1"/>
  <c r="E68" i="2"/>
  <c r="G68" i="2"/>
  <c r="L57" i="1"/>
  <c r="M57" i="1"/>
  <c r="E64" i="2"/>
  <c r="G64" i="2"/>
  <c r="L52" i="1"/>
  <c r="M52" i="1"/>
  <c r="E59" i="2"/>
  <c r="G59" i="2"/>
  <c r="L25" i="1"/>
  <c r="M43" i="1"/>
  <c r="E50" i="2"/>
  <c r="G50" i="2"/>
  <c r="E37" i="1"/>
  <c r="L32" i="1"/>
  <c r="M32" i="1"/>
  <c r="E39" i="2"/>
  <c r="G39" i="2"/>
  <c r="M25" i="1"/>
  <c r="E31" i="2"/>
  <c r="G31" i="2"/>
  <c r="L20" i="1"/>
  <c r="M20" i="1"/>
  <c r="E26" i="2"/>
  <c r="G26" i="2"/>
  <c r="J152" i="3"/>
  <c r="J153" i="3"/>
  <c r="J154" i="3"/>
  <c r="E41" i="1"/>
  <c r="L41" i="1"/>
  <c r="M41" i="1"/>
  <c r="E48" i="2"/>
  <c r="G48" i="2"/>
  <c r="L37" i="1"/>
  <c r="M37" i="1"/>
  <c r="E44" i="2"/>
  <c r="G44" i="2"/>
  <c r="I19" i="1"/>
  <c r="L19" i="1"/>
  <c r="M19" i="1"/>
  <c r="E25" i="2"/>
  <c r="G25" i="2"/>
  <c r="E18" i="1"/>
  <c r="L18" i="1"/>
  <c r="M18" i="1"/>
  <c r="E24" i="2"/>
  <c r="G24" i="2"/>
  <c r="I17" i="1"/>
  <c r="E17" i="1"/>
  <c r="I16" i="1"/>
  <c r="L16" i="1"/>
  <c r="M16" i="1"/>
  <c r="E22" i="2"/>
  <c r="G22" i="2"/>
  <c r="L15" i="1"/>
  <c r="M15" i="1"/>
  <c r="E21" i="2"/>
  <c r="G21" i="2"/>
  <c r="L23" i="1"/>
  <c r="M23" i="1"/>
  <c r="E29" i="2"/>
  <c r="G29" i="2"/>
  <c r="L27" i="1"/>
  <c r="M27" i="1"/>
  <c r="E33" i="2"/>
  <c r="G33" i="2"/>
  <c r="L14" i="1"/>
  <c r="M14" i="1"/>
  <c r="E20" i="2"/>
  <c r="G20" i="2"/>
  <c r="L11" i="1"/>
  <c r="M11" i="1"/>
  <c r="E16" i="2"/>
  <c r="G16" i="2"/>
  <c r="L10" i="1"/>
  <c r="M10" i="1"/>
  <c r="E15" i="2"/>
  <c r="G15" i="2"/>
  <c r="F9" i="1"/>
  <c r="L9" i="1"/>
  <c r="M9" i="1"/>
  <c r="E14" i="2"/>
  <c r="G14" i="2"/>
  <c r="F8" i="1"/>
  <c r="L8" i="1"/>
  <c r="M8" i="1"/>
  <c r="E13" i="2"/>
  <c r="G13" i="2"/>
  <c r="F7" i="1"/>
  <c r="E7" i="1"/>
  <c r="L94" i="1"/>
  <c r="M94" i="1"/>
  <c r="E107" i="2"/>
  <c r="G107" i="2"/>
  <c r="G108" i="2"/>
  <c r="G70" i="2"/>
  <c r="L12" i="1"/>
  <c r="M12" i="1"/>
  <c r="E17" i="2"/>
  <c r="G17" i="2"/>
  <c r="L17" i="1"/>
  <c r="M17" i="1"/>
  <c r="E23" i="2"/>
  <c r="G23" i="2"/>
  <c r="G22" i="1"/>
  <c r="L22" i="1"/>
  <c r="M22" i="1"/>
  <c r="E28" i="2"/>
  <c r="G28" i="2"/>
  <c r="L7" i="1"/>
  <c r="M7" i="1"/>
  <c r="E12" i="2"/>
  <c r="G12" i="2"/>
  <c r="G18" i="2"/>
  <c r="G34" i="2"/>
  <c r="G159" i="2"/>
  <c r="G160" i="2"/>
  <c r="G161" i="2"/>
  <c r="G162" i="2"/>
</calcChain>
</file>

<file path=xl/sharedStrings.xml><?xml version="1.0" encoding="utf-8"?>
<sst xmlns="http://schemas.openxmlformats.org/spreadsheetml/2006/main" count="1043" uniqueCount="357">
  <si>
    <t>N°</t>
  </si>
  <si>
    <t>Désignation</t>
  </si>
  <si>
    <t>Dimensions</t>
  </si>
  <si>
    <t>U</t>
  </si>
  <si>
    <t>Nombre</t>
  </si>
  <si>
    <t>Quantité</t>
  </si>
  <si>
    <t>Totale</t>
  </si>
  <si>
    <t>Partielle</t>
  </si>
  <si>
    <t>L</t>
  </si>
  <si>
    <t>l</t>
  </si>
  <si>
    <t>h</t>
  </si>
  <si>
    <t>P.U</t>
  </si>
  <si>
    <t>P.T</t>
  </si>
  <si>
    <t>Dévis Orga chantier</t>
  </si>
  <si>
    <t>N° Ordre</t>
  </si>
  <si>
    <t xml:space="preserve">Quantité </t>
  </si>
  <si>
    <t>P.U HT</t>
  </si>
  <si>
    <t>Montant HT</t>
  </si>
  <si>
    <t>LOT 1</t>
  </si>
  <si>
    <t>TRAVAUX PREPARATOIRES</t>
  </si>
  <si>
    <t xml:space="preserve">Installation et replis de chantier </t>
  </si>
  <si>
    <t>fft</t>
  </si>
  <si>
    <t>Ens</t>
  </si>
  <si>
    <t>Evacuation des gravat à la decharge publique</t>
  </si>
  <si>
    <t>Implantation</t>
  </si>
  <si>
    <t>Sous Total LOT1</t>
  </si>
  <si>
    <t>LOT 2</t>
  </si>
  <si>
    <t>TERRASSEMENT</t>
  </si>
  <si>
    <t>Décapage des terres végétales d'épaisseur 10cm</t>
  </si>
  <si>
    <r>
      <t>m</t>
    </r>
    <r>
      <rPr>
        <vertAlign val="superscript"/>
        <sz val="11"/>
        <color theme="1"/>
        <rFont val="Cambria"/>
        <family val="1"/>
      </rPr>
      <t>3</t>
    </r>
  </si>
  <si>
    <r>
      <t>Fouilles en rigole 45x50cm</t>
    </r>
    <r>
      <rPr>
        <vertAlign val="superscript"/>
        <sz val="12"/>
        <rFont val="Cambria"/>
        <family val="1"/>
      </rPr>
      <t>2</t>
    </r>
  </si>
  <si>
    <t>linéaire=</t>
  </si>
  <si>
    <t xml:space="preserve">Remblai des terres provenant des fouilles </t>
  </si>
  <si>
    <t>Lit de sable de 5cm pour l'assise du film polyane</t>
  </si>
  <si>
    <t>m²</t>
  </si>
  <si>
    <t>Fourniture et pose du film polyane 180 microns</t>
  </si>
  <si>
    <t>Remblai d'apport compacté soigneusement chaque 20cm</t>
  </si>
  <si>
    <t>Sous Total LOT2</t>
  </si>
  <si>
    <t>LOT 3</t>
  </si>
  <si>
    <t>FONDATION</t>
  </si>
  <si>
    <t>Béton de propreté sous semelles filantes dosé à 150Kg/m3</t>
  </si>
  <si>
    <t>Béton pour semelles filantes dosé à 350Kg/m3</t>
  </si>
  <si>
    <t xml:space="preserve">Aciers longitudinaux HA8 pour semelles filantes </t>
  </si>
  <si>
    <t>kg</t>
  </si>
  <si>
    <t xml:space="preserve">Epingles HA10 pour semelles filantes </t>
  </si>
  <si>
    <t>Nbre =</t>
  </si>
  <si>
    <t>Béton pour poteaux dosé à 350Kg/m3</t>
  </si>
  <si>
    <t xml:space="preserve">Aciers HA10 pour semelles filantes </t>
  </si>
  <si>
    <t>Cadres HA6</t>
  </si>
  <si>
    <t>Coffrage en bois fond de 20</t>
  </si>
  <si>
    <t>Béton pour chainage bas dosé à 350Kg/m3</t>
  </si>
  <si>
    <t>Aciers HA8 pour le chainage</t>
  </si>
  <si>
    <t>Béton pour dallage dosé à 300Kg/m3 ep= 8cm</t>
  </si>
  <si>
    <t>Maçonnerie en agglos 20 cm</t>
  </si>
  <si>
    <t>Sous Total LOT3</t>
  </si>
  <si>
    <t>LOT 4</t>
  </si>
  <si>
    <t>RDC</t>
  </si>
  <si>
    <t>Aciers HA10 pour poteaux</t>
  </si>
  <si>
    <t>Aciers HA6 pour  cadres poteaux</t>
  </si>
  <si>
    <t xml:space="preserve">Béton dosé à 350Kg/m3 pour linteaux </t>
  </si>
  <si>
    <t>Aciers HA8 pour linteaux</t>
  </si>
  <si>
    <t xml:space="preserve"> Aciers HA6 pour les cadres linteaux</t>
  </si>
  <si>
    <t>Coffrage pour lintaux</t>
  </si>
  <si>
    <t>Béton dosé à 350Kg/m3 pour chainage haut</t>
  </si>
  <si>
    <t>Aciers HA8 pour chainage haut</t>
  </si>
  <si>
    <t xml:space="preserve"> Aciers HA6 pour les cadres chainage haut</t>
  </si>
  <si>
    <t>Béton pour escalier dosé à 350Kg/m3</t>
  </si>
  <si>
    <t>Aciers HA10 pour escalier</t>
  </si>
  <si>
    <t>Aciers HA8 de répartition pour escalier</t>
  </si>
  <si>
    <t>Maçonnerie en agglos 15 cm</t>
  </si>
  <si>
    <t>Sous total Poste LOT 4</t>
  </si>
  <si>
    <t>LOT 5</t>
  </si>
  <si>
    <t xml:space="preserve">Etage </t>
  </si>
  <si>
    <t>Béton dosé à 350kg/m3 pour la dalle d'épaisseur 15 cm</t>
  </si>
  <si>
    <t>Aciers HA10 pour la dalle</t>
  </si>
  <si>
    <t xml:space="preserve">Etaiement pour la dalle </t>
  </si>
  <si>
    <t>u</t>
  </si>
  <si>
    <t>Sous total  LOT 5</t>
  </si>
  <si>
    <t>LOT 6</t>
  </si>
  <si>
    <t>CHARPENTE EN BOIS - COUVERTURE</t>
  </si>
  <si>
    <t>Ferme en bois en fond de 15 et Chevrons 8x8cm2</t>
  </si>
  <si>
    <t>Toles bac en alu 5/10ième</t>
  </si>
  <si>
    <r>
      <t>m</t>
    </r>
    <r>
      <rPr>
        <vertAlign val="superscript"/>
        <sz val="11"/>
        <color theme="1"/>
        <rFont val="Cambria"/>
        <family val="1"/>
      </rPr>
      <t>2</t>
    </r>
  </si>
  <si>
    <t>Sous total LOT 6</t>
  </si>
  <si>
    <t>LOT 7</t>
  </si>
  <si>
    <t>REVETEMENT - ETANCHEITE</t>
  </si>
  <si>
    <t>Revetement du sol en gré de céramique 45x45</t>
  </si>
  <si>
    <t>ml</t>
  </si>
  <si>
    <t>Plinthe carreaux en gré de céramique</t>
  </si>
  <si>
    <t>Faience 20x50 pour salle d'eau (SBD, cuisine et toilette)</t>
  </si>
  <si>
    <t>Etage</t>
  </si>
  <si>
    <t>Sous total LOT 7</t>
  </si>
  <si>
    <t>LOT 8</t>
  </si>
  <si>
    <t xml:space="preserve">FAUX PLAFOND  </t>
  </si>
  <si>
    <t>Faux plafond interieur y compris décoration en CP8 mm</t>
  </si>
  <si>
    <t>Contre plaquée 8mm</t>
  </si>
  <si>
    <t>Lattes 5x8</t>
  </si>
  <si>
    <t>Sous total LOT 8</t>
  </si>
  <si>
    <t>LOT 9</t>
  </si>
  <si>
    <t>MENUISERIE EN BOIS - MENUISERIE EN ALUMINIUM</t>
  </si>
  <si>
    <t>Fourniture et pose de bloc porte pleine en bois 1,5x210</t>
  </si>
  <si>
    <t>Fourniture et pose de bloc porte pleine en bois 90x210</t>
  </si>
  <si>
    <t>Fourniture et pose de bloc porte pleine en bois 80x210</t>
  </si>
  <si>
    <t>Fenetre à deux battants 120x110</t>
  </si>
  <si>
    <t>Fenetre à deux battants 60x60</t>
  </si>
  <si>
    <t>Sous total LOT 9</t>
  </si>
  <si>
    <t>LOT 10</t>
  </si>
  <si>
    <t>PEINTURE</t>
  </si>
  <si>
    <t>F</t>
  </si>
  <si>
    <t>peinture sur maçonnerie</t>
  </si>
  <si>
    <t>m2</t>
  </si>
  <si>
    <t>Peinture sur ménuiserie</t>
  </si>
  <si>
    <t>Peinture exterieure</t>
  </si>
  <si>
    <t>Peinture sur faux plafond</t>
  </si>
  <si>
    <t>Sous total LOT 10</t>
  </si>
  <si>
    <t>LOT 11</t>
  </si>
  <si>
    <t>CLIMATISATION</t>
  </si>
  <si>
    <t>Fourniture et pose climatiseurs 12000BTU</t>
  </si>
  <si>
    <t>Fourniture et pose climatiseurs 24000BTU</t>
  </si>
  <si>
    <t>Sous total LOT 11</t>
  </si>
  <si>
    <t>LOT 12</t>
  </si>
  <si>
    <t>ELECTRICITE</t>
  </si>
  <si>
    <t>Forfait</t>
  </si>
  <si>
    <t>Sous total  LOT 12</t>
  </si>
  <si>
    <t>LOT 13</t>
  </si>
  <si>
    <t>PLOMBERIE SANITAIRE - ASSAINISSEMENT</t>
  </si>
  <si>
    <t>RDC - Etage</t>
  </si>
  <si>
    <t>Assainissement</t>
  </si>
  <si>
    <r>
      <t xml:space="preserve">Tuyauterie d'évacuation d'eau </t>
    </r>
    <r>
      <rPr>
        <sz val="11"/>
        <color theme="1"/>
        <rFont val="Calibri"/>
        <family val="2"/>
      </rPr>
      <t>Ф</t>
    </r>
    <r>
      <rPr>
        <sz val="11"/>
        <color theme="1"/>
        <rFont val="Cambria"/>
        <family val="1"/>
      </rPr>
      <t xml:space="preserve"> 63</t>
    </r>
  </si>
  <si>
    <r>
      <t xml:space="preserve">Tuyauterie d'évacuation d'eau </t>
    </r>
    <r>
      <rPr>
        <sz val="11"/>
        <color theme="1"/>
        <rFont val="Calibri"/>
        <family val="2"/>
      </rPr>
      <t>Ф</t>
    </r>
    <r>
      <rPr>
        <sz val="11"/>
        <color theme="1"/>
        <rFont val="Cambria"/>
        <family val="1"/>
      </rPr>
      <t xml:space="preserve"> 80</t>
    </r>
  </si>
  <si>
    <r>
      <t xml:space="preserve">Tuyauterie d'évacuation d'eau </t>
    </r>
    <r>
      <rPr>
        <sz val="11"/>
        <color theme="1"/>
        <rFont val="Calibri"/>
        <family val="2"/>
      </rPr>
      <t>Ф</t>
    </r>
    <r>
      <rPr>
        <sz val="11"/>
        <color theme="1"/>
        <rFont val="Cambria"/>
        <family val="1"/>
      </rPr>
      <t xml:space="preserve"> 100</t>
    </r>
  </si>
  <si>
    <t>Tuyauterie d'évacuation d'eau pluviale goutière en U</t>
  </si>
  <si>
    <r>
      <t xml:space="preserve">Tuyauterie d'évacuation d'eau pluviale </t>
    </r>
    <r>
      <rPr>
        <sz val="11"/>
        <color theme="1"/>
        <rFont val="Calibri"/>
        <family val="2"/>
      </rPr>
      <t>Ф</t>
    </r>
    <r>
      <rPr>
        <sz val="11"/>
        <color theme="1"/>
        <rFont val="Cambria"/>
        <family val="1"/>
      </rPr>
      <t xml:space="preserve"> 100</t>
    </r>
  </si>
  <si>
    <t>Regard de visite 60x60</t>
  </si>
  <si>
    <t>Fosse toute eau 2x1,8x2</t>
  </si>
  <si>
    <t>m3</t>
  </si>
  <si>
    <t>Murs en parpaings de 15</t>
  </si>
  <si>
    <t>Brique</t>
  </si>
  <si>
    <t>Sable</t>
  </si>
  <si>
    <t>t</t>
  </si>
  <si>
    <t>Ciment</t>
  </si>
  <si>
    <t>Dallage béton armé 10cm</t>
  </si>
  <si>
    <t>cm3</t>
  </si>
  <si>
    <t>Gravier</t>
  </si>
  <si>
    <t>Acier HA8</t>
  </si>
  <si>
    <t>Coffrage en bois</t>
  </si>
  <si>
    <t>Lattes</t>
  </si>
  <si>
    <t>Contre plaqué</t>
  </si>
  <si>
    <t>Sanitaire</t>
  </si>
  <si>
    <t>Wc accessoire y compris</t>
  </si>
  <si>
    <t>Evier de cuisine accessoire y compris</t>
  </si>
  <si>
    <t>Lavabos accessoire y compris</t>
  </si>
  <si>
    <t>Plomberie</t>
  </si>
  <si>
    <t>Tuyauterie d'alimentation en eau potable en PEHD</t>
  </si>
  <si>
    <t>Sous total LOT 13</t>
  </si>
  <si>
    <t>Montant Total</t>
  </si>
  <si>
    <t>Imprévues (6% du montant total)</t>
  </si>
  <si>
    <t>Suivi de chantier(5% du montant total)</t>
  </si>
  <si>
    <t>MONTANT HT en Franc CFA</t>
  </si>
  <si>
    <t>①</t>
  </si>
  <si>
    <t>1.1</t>
  </si>
  <si>
    <t>②</t>
  </si>
  <si>
    <t>Béton de propreté sous semmelles dosé à 150kg/m3</t>
  </si>
  <si>
    <t>③</t>
  </si>
  <si>
    <t>ELEVATION</t>
  </si>
  <si>
    <t>ETAGE</t>
  </si>
  <si>
    <t>Maçonnerie en agglos de 20cm</t>
  </si>
  <si>
    <t>Maçonnerie en agglos de 15cm</t>
  </si>
  <si>
    <t>Béton pour semelles filantes en BA dosé à 350kg/m3</t>
  </si>
  <si>
    <t>Béton pour poteaux en BA dosé à 350kg/m3</t>
  </si>
  <si>
    <t>Béton pour poteaux dosé à 350kg/m3</t>
  </si>
  <si>
    <t>Béton pour lintaux dosé à 350kg/m3</t>
  </si>
  <si>
    <t>Béton pour chainage haut dosé à 350kg/m3</t>
  </si>
  <si>
    <t>Béton pour escalier en BA dosé à 350kg/m3</t>
  </si>
  <si>
    <t>Béton pour plancher haut (dalle en BA) d'épaisseur 15cm dosé à 350kg/m3</t>
  </si>
  <si>
    <t>Fouilles en rigole 45x50cm2</t>
  </si>
  <si>
    <t>Aciers longitutdinaux HA10</t>
  </si>
  <si>
    <t>Aciers longitutdinaux HA8</t>
  </si>
  <si>
    <t>Béton pour chainage bas dosé à 350kg/m3</t>
  </si>
  <si>
    <t>Aciers de répartition HA8</t>
  </si>
  <si>
    <t>Aciers HA10</t>
  </si>
  <si>
    <t>Béton pour dallage d'épaisseur 8cm dosé à 300kg/m3</t>
  </si>
  <si>
    <t>④</t>
  </si>
  <si>
    <t>Coffrage en bois en fond de 20cm</t>
  </si>
  <si>
    <t>⑤</t>
  </si>
  <si>
    <t>MENUISERIE EN ALUMINIUM</t>
  </si>
  <si>
    <t>MENUISERIE EN BOIS</t>
  </si>
  <si>
    <t>⑥</t>
  </si>
  <si>
    <t>REVETEMENT MURS</t>
  </si>
  <si>
    <t>Enduit au mortier de 1,5 mm d'épaisseur dosé à 350kg/m3</t>
  </si>
  <si>
    <t>⑦</t>
  </si>
  <si>
    <t>REVETEMENT SOL</t>
  </si>
  <si>
    <t>Chape</t>
  </si>
  <si>
    <t>Plinthe</t>
  </si>
  <si>
    <t>Faience pour salle d'eau sur 1,7m (SBD, cuisine et toilette)</t>
  </si>
  <si>
    <t>Carreleage en gré de céramique 15x15</t>
  </si>
  <si>
    <t>FAUX PLAFOND</t>
  </si>
  <si>
    <t>Latte 5x8cm2</t>
  </si>
  <si>
    <t>RDC &amp; ETAGE</t>
  </si>
  <si>
    <t>⑧</t>
  </si>
  <si>
    <t>⑨</t>
  </si>
  <si>
    <t>⑩</t>
  </si>
  <si>
    <t>⑪</t>
  </si>
  <si>
    <t>⑫</t>
  </si>
  <si>
    <t>⑬</t>
  </si>
  <si>
    <t>1.2</t>
  </si>
  <si>
    <t>1.3</t>
  </si>
  <si>
    <t>1.4</t>
  </si>
  <si>
    <t>1.5</t>
  </si>
  <si>
    <t>1.6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</si>
  <si>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</si>
  <si>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</si>
  <si>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</si>
  <si>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</si>
  <si>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</si>
  <si>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</si>
  <si>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</si>
  <si>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</si>
  <si>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</si>
  <si>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</si>
  <si>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</si>
  <si>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</si>
  <si>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</si>
  <si>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</si>
  <si>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3.1</t>
  </si>
  <si>
    <t>3.1.1</t>
  </si>
  <si>
    <t>3.1.2</t>
  </si>
  <si>
    <t>3.1.3</t>
  </si>
  <si>
    <t>3.1.4</t>
  </si>
  <si>
    <t>3.1.5</t>
  </si>
  <si>
    <t>3.1.6</t>
  </si>
  <si>
    <t>3.1.7</t>
  </si>
  <si>
    <t>3.1.8</t>
  </si>
  <si>
    <t>3.1.9</t>
  </si>
  <si>
    <t>3.1.10</t>
  </si>
  <si>
    <t>3.1.11</t>
  </si>
  <si>
    <t>3.1.12</t>
  </si>
  <si>
    <t>3.1.13</t>
  </si>
  <si>
    <t>3.1.14</t>
  </si>
  <si>
    <t>3.1.15</t>
  </si>
  <si>
    <t>3.1.16</t>
  </si>
  <si>
    <t>3.1.17</t>
  </si>
  <si>
    <t>3.1.18</t>
  </si>
  <si>
    <t>3.1.19</t>
  </si>
  <si>
    <t>3.2</t>
  </si>
  <si>
    <t>3.2.1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</si>
  <si>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</si>
  <si>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</si>
  <si>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</si>
  <si>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</si>
  <si>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</si>
  <si>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</si>
  <si>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</si>
  <si>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</si>
  <si>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3.2.10</t>
  </si>
  <si>
    <t>3.2.11</t>
  </si>
  <si>
    <t>3.2.12</t>
  </si>
  <si>
    <t>4.1</t>
  </si>
  <si>
    <t>4.2</t>
  </si>
  <si>
    <t>5.1</t>
  </si>
  <si>
    <t>5.2</t>
  </si>
  <si>
    <t>5.1.1</t>
  </si>
  <si>
    <t>5.1.2</t>
  </si>
  <si>
    <t>5.2.1</t>
  </si>
  <si>
    <t>5.2.2</t>
  </si>
  <si>
    <t>6.1</t>
  </si>
  <si>
    <t>6.1.1</t>
  </si>
  <si>
    <t>6.1.2</t>
  </si>
  <si>
    <t>6.1.3</t>
  </si>
  <si>
    <t>6.2</t>
  </si>
  <si>
    <t>6.2.1</t>
  </si>
  <si>
    <t>6.2.2</t>
  </si>
  <si>
    <t>6.2.3</t>
  </si>
  <si>
    <t>7.1</t>
  </si>
  <si>
    <t>8.1</t>
  </si>
  <si>
    <t>9.1</t>
  </si>
  <si>
    <t>10.1</t>
  </si>
  <si>
    <t>11.1</t>
  </si>
  <si>
    <t>12.1</t>
  </si>
  <si>
    <t>13.1</t>
  </si>
  <si>
    <t>7.2</t>
  </si>
  <si>
    <t>8.2</t>
  </si>
  <si>
    <t>8.3</t>
  </si>
  <si>
    <t>9.2</t>
  </si>
  <si>
    <t>10.2</t>
  </si>
  <si>
    <t>10.3</t>
  </si>
  <si>
    <t>10.4</t>
  </si>
  <si>
    <t>11.2</t>
  </si>
  <si>
    <t>13.2</t>
  </si>
  <si>
    <t>13.3</t>
  </si>
  <si>
    <t>13.4</t>
  </si>
  <si>
    <t>13.5</t>
  </si>
  <si>
    <t>13.6</t>
  </si>
  <si>
    <t>13.7</t>
  </si>
  <si>
    <t>13.8</t>
  </si>
  <si>
    <t>13.9</t>
  </si>
  <si>
    <t>13.10</t>
  </si>
  <si>
    <t>13.11</t>
  </si>
  <si>
    <t>13.12</t>
  </si>
  <si>
    <t>13.13</t>
  </si>
  <si>
    <t>13.14</t>
  </si>
  <si>
    <t>13.15</t>
  </si>
  <si>
    <t>13.16</t>
  </si>
  <si>
    <t>13.17</t>
  </si>
  <si>
    <t>13.18</t>
  </si>
  <si>
    <t>13.19</t>
  </si>
  <si>
    <t>13.20</t>
  </si>
  <si>
    <t>13.21</t>
  </si>
  <si>
    <t>13.22</t>
  </si>
  <si>
    <t>13.23</t>
  </si>
  <si>
    <t>13.24</t>
  </si>
  <si>
    <t>13.25</t>
  </si>
  <si>
    <t>Sous total 1</t>
  </si>
  <si>
    <r>
      <t>m</t>
    </r>
    <r>
      <rPr>
        <vertAlign val="superscript"/>
        <sz val="12"/>
        <color theme="1"/>
        <rFont val="Times New Roman"/>
        <family val="1"/>
      </rPr>
      <t>3</t>
    </r>
  </si>
  <si>
    <t>Remblai des terres provenant des fouilles</t>
  </si>
  <si>
    <r>
      <t>m</t>
    </r>
    <r>
      <rPr>
        <vertAlign val="superscript"/>
        <sz val="12"/>
        <color theme="1"/>
        <rFont val="Times New Roman"/>
        <family val="1"/>
      </rPr>
      <t>2</t>
    </r>
  </si>
  <si>
    <t>Acier</t>
  </si>
  <si>
    <t>masse (kg/m)</t>
  </si>
  <si>
    <t>Ф (mm)</t>
  </si>
  <si>
    <r>
      <t>S</t>
    </r>
    <r>
      <rPr>
        <vertAlign val="sub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 (m)</t>
    </r>
  </si>
  <si>
    <r>
      <t>m</t>
    </r>
    <r>
      <rPr>
        <vertAlign val="superscript"/>
        <sz val="12"/>
        <color theme="1"/>
        <rFont val="Times New Roman"/>
        <family val="1"/>
      </rPr>
      <t>3</t>
    </r>
    <r>
      <rPr>
        <sz val="11"/>
        <color theme="1"/>
        <rFont val="Calibri"/>
        <family val="2"/>
        <scheme val="minor"/>
      </rPr>
      <t/>
    </r>
  </si>
  <si>
    <t>3.2.13</t>
  </si>
  <si>
    <t>Etaiement pour la dalle</t>
  </si>
  <si>
    <t>Peinture intérieure</t>
  </si>
  <si>
    <t>PLOMBERIE - SANITAIRE -ASSAINISSEMENT</t>
  </si>
  <si>
    <t>⓪</t>
  </si>
  <si>
    <t>TRVAUX PREPARATOIRES</t>
  </si>
  <si>
    <t>Montant total</t>
  </si>
  <si>
    <t>Suivi du chantier (5% du montant total)</t>
  </si>
  <si>
    <t>Sous total 0</t>
  </si>
  <si>
    <t>Sous total 2</t>
  </si>
  <si>
    <t>Sous total 3</t>
  </si>
  <si>
    <t>Sous total 4</t>
  </si>
  <si>
    <t>Sous total 5</t>
  </si>
  <si>
    <t>Sous total 6</t>
  </si>
  <si>
    <t>Sous total 7</t>
  </si>
  <si>
    <t>Sous total 8</t>
  </si>
  <si>
    <t>Sous total 9</t>
  </si>
  <si>
    <t>Sous total 10</t>
  </si>
  <si>
    <t>Sous total 11</t>
  </si>
  <si>
    <t>Sous total 12</t>
  </si>
  <si>
    <t>Sous total 13</t>
  </si>
  <si>
    <r>
      <t>cm</t>
    </r>
    <r>
      <rPr>
        <vertAlign val="superscript"/>
        <sz val="11"/>
        <color theme="1"/>
        <rFont val="Cambria"/>
        <family val="1"/>
      </rPr>
      <t>3</t>
    </r>
  </si>
  <si>
    <r>
      <t>cm</t>
    </r>
    <r>
      <rPr>
        <vertAlign val="superscript"/>
        <sz val="11"/>
        <color theme="1"/>
        <rFont val="Times New Roman"/>
        <family val="1"/>
      </rPr>
      <t>3</t>
    </r>
  </si>
  <si>
    <t>Tuyauterie d'évacuation d'eau Ф 63</t>
  </si>
  <si>
    <t>Tuyauterie d'évacuation d'eau Ф 80</t>
  </si>
  <si>
    <t>Tuyauterie d'évacuation d'eau Ф 100</t>
  </si>
  <si>
    <t>Tuyauterie d'évacuation d'eau pluviale Ф 100</t>
  </si>
  <si>
    <t>Contre plaqué de 4mm</t>
  </si>
  <si>
    <t>TRAVAUX DE FINITION</t>
  </si>
  <si>
    <t>⑭</t>
  </si>
  <si>
    <t>Travaux complémentaires</t>
  </si>
  <si>
    <t>Sous total 14</t>
  </si>
  <si>
    <t>14.1</t>
  </si>
  <si>
    <t>COUT TOTAL HORS TAXE</t>
  </si>
  <si>
    <t>FORFAIT</t>
  </si>
  <si>
    <t>KLS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</si>
</sst>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F_C_F_A_-;\-* #,##0\ _F_C_F_A_-;_-* &quot;-&quot;\ _F_C_F_A_-;_-@_-"/>
    <numFmt numFmtId="164" formatCode="0.000"/>
  </numFmts>
  <fonts count="3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u/>
      <sz val="16"/>
      <color rgb="FF0070C0"/>
      <name val="Arial Narrow"/>
      <family val="2"/>
    </font>
    <font>
      <sz val="16"/>
      <color theme="1"/>
      <name val="Cambria"/>
      <family val="1"/>
    </font>
    <font>
      <sz val="14"/>
      <color theme="1"/>
      <name val="Cambria"/>
      <family val="1"/>
    </font>
    <font>
      <b/>
      <sz val="12"/>
      <color theme="1"/>
      <name val="Cambria"/>
      <family val="1"/>
    </font>
    <font>
      <sz val="11"/>
      <color theme="1"/>
      <name val="Cambria"/>
      <family val="1"/>
    </font>
    <font>
      <i/>
      <sz val="11"/>
      <color theme="1"/>
      <name val="Cambria"/>
      <family val="1"/>
    </font>
    <font>
      <b/>
      <sz val="11"/>
      <color theme="1"/>
      <name val="Cambria"/>
      <family val="1"/>
    </font>
    <font>
      <sz val="12"/>
      <name val="Cambria"/>
      <family val="1"/>
    </font>
    <font>
      <vertAlign val="superscript"/>
      <sz val="11"/>
      <color theme="1"/>
      <name val="Cambria"/>
      <family val="1"/>
    </font>
    <font>
      <vertAlign val="superscript"/>
      <sz val="12"/>
      <name val="Cambria"/>
      <family val="1"/>
    </font>
    <font>
      <sz val="11"/>
      <name val="Cambria"/>
      <family val="1"/>
    </font>
    <font>
      <sz val="11"/>
      <color theme="0"/>
      <name val="Cambria"/>
      <family val="1"/>
    </font>
    <font>
      <b/>
      <sz val="11"/>
      <name val="Cambria"/>
      <family val="1"/>
    </font>
    <font>
      <sz val="12"/>
      <color theme="1"/>
      <name val="Cambria"/>
      <family val="1"/>
    </font>
    <font>
      <sz val="11"/>
      <color theme="1"/>
      <name val="Calibri"/>
      <family val="2"/>
    </font>
    <font>
      <b/>
      <sz val="14"/>
      <color theme="1"/>
      <name val="Cambria"/>
      <family val="1"/>
    </font>
    <font>
      <b/>
      <sz val="16"/>
      <color theme="1"/>
      <name val="Cambria"/>
      <family val="1"/>
    </font>
    <font>
      <b/>
      <i/>
      <sz val="16"/>
      <color theme="5" tint="-0.499984740745262"/>
      <name val="Cambria"/>
      <family val="1"/>
    </font>
    <font>
      <b/>
      <sz val="14"/>
      <name val="Cambria"/>
      <family val="1"/>
    </font>
    <font>
      <sz val="12"/>
      <color theme="1"/>
      <name val="Calibri"/>
      <family val="2"/>
    </font>
    <font>
      <sz val="12"/>
      <name val="Times New Roman"/>
      <family val="1"/>
    </font>
    <font>
      <vertAlign val="super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0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double">
        <color auto="1"/>
      </left>
      <right/>
      <top/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auto="1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41" fontId="2" fillId="0" borderId="0" applyFont="0" applyFill="0" applyBorder="0" applyAlignment="0" applyProtection="0"/>
  </cellStyleXfs>
  <cellXfs count="278">
    <xf numFmtId="0" fontId="0" fillId="0" borderId="0" xfId="0"/>
    <xf numFmtId="3" fontId="0" fillId="0" borderId="0" xfId="0" applyNumberFormat="1" applyAlignment="1">
      <alignment horizontal="center"/>
    </xf>
    <xf numFmtId="0" fontId="7" fillId="5" borderId="1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/>
    </xf>
    <xf numFmtId="0" fontId="9" fillId="6" borderId="7" xfId="2" applyNumberFormat="1" applyFont="1" applyFill="1" applyBorder="1" applyAlignment="1">
      <alignment horizontal="center" vertical="top"/>
    </xf>
    <xf numFmtId="0" fontId="10" fillId="6" borderId="7" xfId="2" applyFont="1" applyFill="1" applyBorder="1" applyAlignment="1">
      <alignment horizontal="center"/>
    </xf>
    <xf numFmtId="0" fontId="10" fillId="6" borderId="7" xfId="2" applyFont="1" applyFill="1" applyBorder="1" applyAlignment="1">
      <alignment horizontal="center" vertical="center"/>
    </xf>
    <xf numFmtId="3" fontId="10" fillId="6" borderId="7" xfId="2" applyNumberFormat="1" applyFont="1" applyFill="1" applyBorder="1" applyAlignment="1">
      <alignment horizontal="center"/>
    </xf>
    <xf numFmtId="0" fontId="10" fillId="6" borderId="7" xfId="2" applyFont="1" applyFill="1" applyBorder="1"/>
    <xf numFmtId="0" fontId="10" fillId="7" borderId="8" xfId="2" applyNumberFormat="1" applyFont="1" applyFill="1" applyBorder="1" applyAlignment="1">
      <alignment horizontal="center" vertical="top"/>
    </xf>
    <xf numFmtId="0" fontId="10" fillId="7" borderId="9" xfId="2" applyFont="1" applyFill="1" applyBorder="1" applyAlignment="1">
      <alignment horizontal="center" vertical="center"/>
    </xf>
    <xf numFmtId="164" fontId="11" fillId="7" borderId="9" xfId="2" applyNumberFormat="1" applyFont="1" applyFill="1" applyBorder="1" applyAlignment="1">
      <alignment horizontal="center" vertical="center"/>
    </xf>
    <xf numFmtId="3" fontId="10" fillId="7" borderId="9" xfId="2" applyNumberFormat="1" applyFont="1" applyFill="1" applyBorder="1" applyAlignment="1">
      <alignment horizontal="center" vertical="center"/>
    </xf>
    <xf numFmtId="3" fontId="10" fillId="7" borderId="9" xfId="2" applyNumberFormat="1" applyFont="1" applyFill="1" applyBorder="1" applyAlignment="1">
      <alignment horizontal="right" vertical="center"/>
    </xf>
    <xf numFmtId="0" fontId="10" fillId="7" borderId="9" xfId="2" applyNumberFormat="1" applyFont="1" applyFill="1" applyBorder="1" applyAlignment="1">
      <alignment horizontal="center" vertical="top"/>
    </xf>
    <xf numFmtId="3" fontId="12" fillId="8" borderId="9" xfId="2" applyNumberFormat="1" applyFont="1" applyFill="1" applyBorder="1" applyAlignment="1">
      <alignment horizontal="center" vertical="center"/>
    </xf>
    <xf numFmtId="3" fontId="0" fillId="8" borderId="9" xfId="2" applyNumberFormat="1" applyFont="1" applyFill="1" applyBorder="1" applyAlignment="1">
      <alignment horizontal="right"/>
    </xf>
    <xf numFmtId="0" fontId="9" fillId="6" borderId="13" xfId="2" applyNumberFormat="1" applyFont="1" applyFill="1" applyBorder="1" applyAlignment="1">
      <alignment horizontal="center" vertical="top"/>
    </xf>
    <xf numFmtId="0" fontId="10" fillId="6" borderId="13" xfId="2" applyFont="1" applyFill="1" applyBorder="1" applyAlignment="1">
      <alignment horizontal="center"/>
    </xf>
    <xf numFmtId="0" fontId="10" fillId="6" borderId="13" xfId="2" applyFont="1" applyFill="1" applyBorder="1" applyAlignment="1">
      <alignment horizontal="center" vertical="center"/>
    </xf>
    <xf numFmtId="3" fontId="10" fillId="6" borderId="9" xfId="2" applyNumberFormat="1" applyFont="1" applyFill="1" applyBorder="1" applyAlignment="1">
      <alignment horizontal="center" vertical="center"/>
    </xf>
    <xf numFmtId="0" fontId="10" fillId="6" borderId="9" xfId="2" applyFont="1" applyFill="1" applyBorder="1" applyAlignment="1">
      <alignment horizontal="right"/>
    </xf>
    <xf numFmtId="0" fontId="10" fillId="7" borderId="9" xfId="2" applyNumberFormat="1" applyFont="1" applyFill="1" applyBorder="1" applyAlignment="1">
      <alignment horizontal="center" vertical="center"/>
    </xf>
    <xf numFmtId="164" fontId="10" fillId="7" borderId="9" xfId="2" applyNumberFormat="1" applyFont="1" applyFill="1" applyBorder="1" applyAlignment="1">
      <alignment horizontal="center" vertical="center"/>
    </xf>
    <xf numFmtId="3" fontId="12" fillId="8" borderId="9" xfId="2" applyNumberFormat="1" applyFont="1" applyFill="1" applyBorder="1" applyAlignment="1">
      <alignment horizontal="right"/>
    </xf>
    <xf numFmtId="49" fontId="16" fillId="7" borderId="14" xfId="1" applyNumberFormat="1" applyFont="1" applyFill="1" applyBorder="1" applyAlignment="1">
      <alignment horizontal="center"/>
    </xf>
    <xf numFmtId="2" fontId="16" fillId="7" borderId="14" xfId="1" applyNumberFormat="1" applyFont="1" applyFill="1" applyBorder="1" applyAlignment="1">
      <alignment horizontal="center"/>
    </xf>
    <xf numFmtId="3" fontId="16" fillId="7" borderId="14" xfId="1" applyNumberFormat="1" applyFont="1" applyFill="1" applyBorder="1" applyAlignment="1">
      <alignment horizontal="center" vertical="center"/>
    </xf>
    <xf numFmtId="3" fontId="16" fillId="7" borderId="14" xfId="1" applyNumberFormat="1" applyFont="1" applyFill="1" applyBorder="1" applyAlignment="1">
      <alignment horizontal="right"/>
    </xf>
    <xf numFmtId="0" fontId="16" fillId="7" borderId="14" xfId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3" fontId="10" fillId="6" borderId="13" xfId="2" applyNumberFormat="1" applyFont="1" applyFill="1" applyBorder="1" applyAlignment="1">
      <alignment horizontal="center" vertical="center"/>
    </xf>
    <xf numFmtId="0" fontId="10" fillId="6" borderId="13" xfId="2" applyFont="1" applyFill="1" applyBorder="1" applyAlignment="1">
      <alignment horizontal="right"/>
    </xf>
    <xf numFmtId="0" fontId="10" fillId="7" borderId="15" xfId="2" applyNumberFormat="1" applyFont="1" applyFill="1" applyBorder="1" applyAlignment="1">
      <alignment horizontal="center" vertical="center"/>
    </xf>
    <xf numFmtId="164" fontId="10" fillId="7" borderId="14" xfId="2" applyNumberFormat="1" applyFont="1" applyFill="1" applyBorder="1" applyAlignment="1">
      <alignment horizontal="center" vertical="center"/>
    </xf>
    <xf numFmtId="3" fontId="10" fillId="7" borderId="14" xfId="2" applyNumberFormat="1" applyFont="1" applyFill="1" applyBorder="1" applyAlignment="1">
      <alignment horizontal="center" vertical="center"/>
    </xf>
    <xf numFmtId="0" fontId="10" fillId="7" borderId="8" xfId="2" applyNumberFormat="1" applyFont="1" applyFill="1" applyBorder="1" applyAlignment="1">
      <alignment horizontal="center" vertical="center"/>
    </xf>
    <xf numFmtId="0" fontId="10" fillId="7" borderId="14" xfId="2" applyFont="1" applyFill="1" applyBorder="1" applyAlignment="1">
      <alignment horizontal="center" vertical="center"/>
    </xf>
    <xf numFmtId="0" fontId="16" fillId="7" borderId="9" xfId="1" applyFont="1" applyFill="1" applyBorder="1" applyAlignment="1">
      <alignment horizontal="center"/>
    </xf>
    <xf numFmtId="3" fontId="12" fillId="8" borderId="13" xfId="2" applyNumberFormat="1" applyFont="1" applyFill="1" applyBorder="1" applyAlignment="1">
      <alignment horizontal="center" vertical="center"/>
    </xf>
    <xf numFmtId="0" fontId="10" fillId="7" borderId="14" xfId="2" applyNumberFormat="1" applyFont="1" applyFill="1" applyBorder="1" applyAlignment="1">
      <alignment horizontal="center" vertical="center"/>
    </xf>
    <xf numFmtId="49" fontId="16" fillId="7" borderId="9" xfId="1" applyNumberFormat="1" applyFont="1" applyFill="1" applyBorder="1" applyAlignment="1">
      <alignment horizontal="center"/>
    </xf>
    <xf numFmtId="2" fontId="16" fillId="7" borderId="9" xfId="1" applyNumberFormat="1" applyFont="1" applyFill="1" applyBorder="1" applyAlignment="1">
      <alignment horizontal="center"/>
    </xf>
    <xf numFmtId="3" fontId="16" fillId="7" borderId="9" xfId="1" applyNumberFormat="1" applyFont="1" applyFill="1" applyBorder="1" applyAlignment="1">
      <alignment horizontal="center"/>
    </xf>
    <xf numFmtId="3" fontId="16" fillId="7" borderId="9" xfId="1" applyNumberFormat="1" applyFont="1" applyFill="1" applyBorder="1"/>
    <xf numFmtId="3" fontId="12" fillId="8" borderId="9" xfId="2" applyNumberFormat="1" applyFont="1" applyFill="1" applyBorder="1" applyAlignment="1">
      <alignment horizontal="center" vertical="top"/>
    </xf>
    <xf numFmtId="3" fontId="12" fillId="8" borderId="9" xfId="2" applyNumberFormat="1" applyFont="1" applyFill="1" applyBorder="1"/>
    <xf numFmtId="3" fontId="10" fillId="6" borderId="13" xfId="2" applyNumberFormat="1" applyFont="1" applyFill="1" applyBorder="1" applyAlignment="1">
      <alignment horizontal="center"/>
    </xf>
    <xf numFmtId="0" fontId="10" fillId="6" borderId="13" xfId="2" applyFont="1" applyFill="1" applyBorder="1"/>
    <xf numFmtId="49" fontId="16" fillId="9" borderId="9" xfId="1" applyNumberFormat="1" applyFont="1" applyFill="1" applyBorder="1" applyAlignment="1">
      <alignment horizontal="center"/>
    </xf>
    <xf numFmtId="0" fontId="16" fillId="9" borderId="9" xfId="1" applyFont="1" applyFill="1" applyBorder="1" applyAlignment="1">
      <alignment horizontal="center"/>
    </xf>
    <xf numFmtId="2" fontId="16" fillId="9" borderId="9" xfId="1" applyNumberFormat="1" applyFont="1" applyFill="1" applyBorder="1" applyAlignment="1">
      <alignment horizontal="center"/>
    </xf>
    <xf numFmtId="3" fontId="16" fillId="9" borderId="9" xfId="1" applyNumberFormat="1" applyFont="1" applyFill="1" applyBorder="1" applyAlignment="1">
      <alignment horizontal="center"/>
    </xf>
    <xf numFmtId="3" fontId="16" fillId="9" borderId="9" xfId="1" applyNumberFormat="1" applyFont="1" applyFill="1" applyBorder="1"/>
    <xf numFmtId="3" fontId="10" fillId="7" borderId="9" xfId="2" applyNumberFormat="1" applyFont="1" applyFill="1" applyBorder="1" applyAlignment="1">
      <alignment horizontal="center"/>
    </xf>
    <xf numFmtId="0" fontId="9" fillId="6" borderId="9" xfId="2" applyNumberFormat="1" applyFont="1" applyFill="1" applyBorder="1" applyAlignment="1">
      <alignment horizontal="center" vertical="top"/>
    </xf>
    <xf numFmtId="0" fontId="10" fillId="6" borderId="9" xfId="2" applyFont="1" applyFill="1" applyBorder="1" applyAlignment="1">
      <alignment horizontal="center"/>
    </xf>
    <xf numFmtId="0" fontId="10" fillId="6" borderId="9" xfId="2" applyFont="1" applyFill="1" applyBorder="1" applyAlignment="1">
      <alignment horizontal="center" vertical="center"/>
    </xf>
    <xf numFmtId="3" fontId="10" fillId="6" borderId="9" xfId="2" applyNumberFormat="1" applyFont="1" applyFill="1" applyBorder="1" applyAlignment="1">
      <alignment horizontal="center"/>
    </xf>
    <xf numFmtId="0" fontId="10" fillId="6" borderId="9" xfId="2" applyFont="1" applyFill="1" applyBorder="1"/>
    <xf numFmtId="0" fontId="19" fillId="9" borderId="9" xfId="2" applyNumberFormat="1" applyFont="1" applyFill="1" applyBorder="1" applyAlignment="1">
      <alignment horizontal="center" vertical="top"/>
    </xf>
    <xf numFmtId="0" fontId="10" fillId="9" borderId="9" xfId="2" applyFont="1" applyFill="1" applyBorder="1" applyAlignment="1">
      <alignment horizontal="center"/>
    </xf>
    <xf numFmtId="0" fontId="10" fillId="9" borderId="9" xfId="2" applyFont="1" applyFill="1" applyBorder="1" applyAlignment="1">
      <alignment horizontal="center" vertical="center"/>
    </xf>
    <xf numFmtId="3" fontId="10" fillId="9" borderId="9" xfId="2" applyNumberFormat="1" applyFont="1" applyFill="1" applyBorder="1" applyAlignment="1">
      <alignment horizontal="center"/>
    </xf>
    <xf numFmtId="0" fontId="10" fillId="9" borderId="9" xfId="2" applyFont="1" applyFill="1" applyBorder="1"/>
    <xf numFmtId="2" fontId="10" fillId="7" borderId="9" xfId="2" applyNumberFormat="1" applyFont="1" applyFill="1" applyBorder="1" applyAlignment="1">
      <alignment horizontal="center" vertical="center"/>
    </xf>
    <xf numFmtId="2" fontId="12" fillId="8" borderId="9" xfId="2" applyNumberFormat="1" applyFont="1" applyFill="1" applyBorder="1" applyAlignment="1">
      <alignment horizontal="center" vertical="top"/>
    </xf>
    <xf numFmtId="49" fontId="16" fillId="10" borderId="9" xfId="1" applyNumberFormat="1" applyFont="1" applyFill="1" applyBorder="1" applyAlignment="1">
      <alignment horizontal="center"/>
    </xf>
    <xf numFmtId="0" fontId="16" fillId="10" borderId="9" xfId="1" applyFont="1" applyFill="1" applyBorder="1" applyAlignment="1">
      <alignment horizontal="center"/>
    </xf>
    <xf numFmtId="2" fontId="16" fillId="10" borderId="9" xfId="1" applyNumberFormat="1" applyFont="1" applyFill="1" applyBorder="1" applyAlignment="1">
      <alignment horizontal="center"/>
    </xf>
    <xf numFmtId="3" fontId="16" fillId="10" borderId="9" xfId="1" applyNumberFormat="1" applyFont="1" applyFill="1" applyBorder="1" applyAlignment="1">
      <alignment horizontal="center"/>
    </xf>
    <xf numFmtId="3" fontId="16" fillId="10" borderId="9" xfId="1" applyNumberFormat="1" applyFont="1" applyFill="1" applyBorder="1"/>
    <xf numFmtId="1" fontId="10" fillId="7" borderId="9" xfId="2" applyNumberFormat="1" applyFont="1" applyFill="1" applyBorder="1" applyAlignment="1">
      <alignment horizontal="center" vertical="center"/>
    </xf>
    <xf numFmtId="3" fontId="10" fillId="7" borderId="9" xfId="2" applyNumberFormat="1" applyFont="1" applyFill="1" applyBorder="1" applyAlignment="1">
      <alignment vertical="center"/>
    </xf>
    <xf numFmtId="1" fontId="12" fillId="8" borderId="9" xfId="2" applyNumberFormat="1" applyFont="1" applyFill="1" applyBorder="1" applyAlignment="1">
      <alignment horizontal="center" vertical="top"/>
    </xf>
    <xf numFmtId="0" fontId="9" fillId="0" borderId="9" xfId="2" applyNumberFormat="1" applyFont="1" applyFill="1" applyBorder="1" applyAlignment="1">
      <alignment horizontal="left" vertical="top"/>
    </xf>
    <xf numFmtId="0" fontId="10" fillId="0" borderId="9" xfId="2" applyFont="1" applyFill="1" applyBorder="1" applyAlignment="1">
      <alignment horizontal="center" vertical="center"/>
    </xf>
    <xf numFmtId="3" fontId="10" fillId="0" borderId="9" xfId="2" applyNumberFormat="1" applyFont="1" applyFill="1" applyBorder="1" applyAlignment="1">
      <alignment horizontal="center"/>
    </xf>
    <xf numFmtId="0" fontId="10" fillId="0" borderId="9" xfId="2" applyFont="1" applyFill="1" applyBorder="1" applyAlignment="1">
      <alignment horizontal="right" vertical="center"/>
    </xf>
    <xf numFmtId="3" fontId="12" fillId="8" borderId="9" xfId="2" applyNumberFormat="1" applyFont="1" applyFill="1" applyBorder="1" applyAlignment="1">
      <alignment horizontal="right" vertical="center"/>
    </xf>
    <xf numFmtId="0" fontId="9" fillId="0" borderId="9" xfId="2" applyNumberFormat="1" applyFont="1" applyFill="1" applyBorder="1" applyAlignment="1">
      <alignment horizontal="center" vertical="top"/>
    </xf>
    <xf numFmtId="0" fontId="10" fillId="0" borderId="9" xfId="2" applyFont="1" applyFill="1" applyBorder="1" applyAlignment="1">
      <alignment horizontal="center"/>
    </xf>
    <xf numFmtId="0" fontId="0" fillId="0" borderId="0" xfId="0" applyFill="1"/>
    <xf numFmtId="3" fontId="16" fillId="8" borderId="9" xfId="1" applyNumberFormat="1" applyFont="1" applyFill="1" applyBorder="1" applyAlignment="1">
      <alignment horizontal="center"/>
    </xf>
    <xf numFmtId="3" fontId="18" fillId="8" borderId="9" xfId="1" applyNumberFormat="1" applyFont="1" applyFill="1" applyBorder="1"/>
    <xf numFmtId="0" fontId="10" fillId="9" borderId="9" xfId="2" applyNumberFormat="1" applyFont="1" applyFill="1" applyBorder="1" applyAlignment="1">
      <alignment horizontal="center" vertical="center"/>
    </xf>
    <xf numFmtId="2" fontId="11" fillId="9" borderId="9" xfId="2" applyNumberFormat="1" applyFont="1" applyFill="1" applyBorder="1" applyAlignment="1">
      <alignment horizontal="center" vertical="center"/>
    </xf>
    <xf numFmtId="3" fontId="10" fillId="9" borderId="9" xfId="2" applyNumberFormat="1" applyFont="1" applyFill="1" applyBorder="1" applyAlignment="1">
      <alignment vertical="center"/>
    </xf>
    <xf numFmtId="0" fontId="10" fillId="0" borderId="9" xfId="2" applyNumberFormat="1" applyFont="1" applyFill="1" applyBorder="1" applyAlignment="1">
      <alignment horizontal="center" vertical="center"/>
    </xf>
    <xf numFmtId="2" fontId="11" fillId="0" borderId="9" xfId="2" applyNumberFormat="1" applyFont="1" applyFill="1" applyBorder="1" applyAlignment="1">
      <alignment horizontal="center" vertical="center"/>
    </xf>
    <xf numFmtId="3" fontId="10" fillId="0" borderId="9" xfId="2" applyNumberFormat="1" applyFont="1" applyFill="1" applyBorder="1" applyAlignment="1">
      <alignment vertical="center"/>
    </xf>
    <xf numFmtId="2" fontId="10" fillId="0" borderId="9" xfId="2" applyNumberFormat="1" applyFont="1" applyFill="1" applyBorder="1" applyAlignment="1">
      <alignment horizontal="center" vertical="center"/>
    </xf>
    <xf numFmtId="2" fontId="12" fillId="8" borderId="16" xfId="2" applyNumberFormat="1" applyFont="1" applyFill="1" applyBorder="1" applyAlignment="1">
      <alignment horizontal="center" vertical="top"/>
    </xf>
    <xf numFmtId="3" fontId="12" fillId="8" borderId="17" xfId="2" applyNumberFormat="1" applyFont="1" applyFill="1" applyBorder="1"/>
    <xf numFmtId="3" fontId="21" fillId="12" borderId="20" xfId="3" applyNumberFormat="1" applyFont="1" applyFill="1" applyBorder="1"/>
    <xf numFmtId="3" fontId="12" fillId="12" borderId="19" xfId="3" applyNumberFormat="1" applyFont="1" applyFill="1" applyBorder="1"/>
    <xf numFmtId="3" fontId="12" fillId="12" borderId="22" xfId="3" applyNumberFormat="1" applyFont="1" applyFill="1" applyBorder="1"/>
    <xf numFmtId="3" fontId="23" fillId="13" borderId="23" xfId="3" applyNumberFormat="1" applyFont="1" applyFill="1" applyBorder="1" applyAlignment="1">
      <alignment vertical="center"/>
    </xf>
    <xf numFmtId="0" fontId="13" fillId="7" borderId="9" xfId="2" applyNumberFormat="1" applyFont="1" applyFill="1" applyBorder="1" applyAlignment="1">
      <alignment horizontal="center" vertical="top" wrapText="1"/>
    </xf>
    <xf numFmtId="0" fontId="10" fillId="7" borderId="9" xfId="2" applyNumberFormat="1" applyFont="1" applyFill="1" applyBorder="1" applyAlignment="1">
      <alignment vertical="top"/>
    </xf>
    <xf numFmtId="0" fontId="12" fillId="7" borderId="9" xfId="2" applyNumberFormat="1" applyFont="1" applyFill="1" applyBorder="1" applyAlignment="1">
      <alignment vertical="top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0" fillId="0" borderId="9" xfId="2" applyNumberFormat="1" applyFont="1" applyFill="1" applyBorder="1" applyAlignment="1">
      <alignment vertical="top"/>
    </xf>
    <xf numFmtId="0" fontId="12" fillId="0" borderId="9" xfId="2" applyNumberFormat="1" applyFont="1" applyFill="1" applyBorder="1" applyAlignment="1">
      <alignment vertical="top"/>
    </xf>
    <xf numFmtId="0" fontId="1" fillId="5" borderId="9" xfId="0" applyFont="1" applyFill="1" applyBorder="1" applyAlignment="1">
      <alignment horizontal="center" vertical="center"/>
    </xf>
    <xf numFmtId="0" fontId="1" fillId="9" borderId="9" xfId="0" applyFont="1" applyFill="1" applyBorder="1" applyAlignment="1">
      <alignment horizontal="center" vertical="center"/>
    </xf>
    <xf numFmtId="0" fontId="1" fillId="10" borderId="9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25" fillId="6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right" vertical="center"/>
    </xf>
    <xf numFmtId="0" fontId="1" fillId="10" borderId="9" xfId="0" applyFont="1" applyFill="1" applyBorder="1" applyAlignment="1">
      <alignment horizontal="left" vertical="center"/>
    </xf>
    <xf numFmtId="0" fontId="25" fillId="0" borderId="9" xfId="0" applyFont="1" applyBorder="1" applyAlignment="1">
      <alignment horizontal="right" vertical="center"/>
    </xf>
    <xf numFmtId="0" fontId="25" fillId="10" borderId="9" xfId="0" applyFont="1" applyFill="1" applyBorder="1" applyAlignment="1">
      <alignment horizontal="left" vertical="center"/>
    </xf>
    <xf numFmtId="0" fontId="1" fillId="10" borderId="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25" fillId="9" borderId="9" xfId="0" applyFont="1" applyFill="1" applyBorder="1" applyAlignment="1">
      <alignment horizontal="center" vertical="center"/>
    </xf>
    <xf numFmtId="0" fontId="26" fillId="7" borderId="9" xfId="2" applyNumberFormat="1" applyFont="1" applyFill="1" applyBorder="1" applyAlignment="1">
      <alignment horizontal="center" vertical="top"/>
    </xf>
    <xf numFmtId="0" fontId="13" fillId="7" borderId="9" xfId="2" applyNumberFormat="1" applyFont="1" applyFill="1" applyBorder="1" applyAlignment="1">
      <alignment horizontal="center" vertical="top"/>
    </xf>
    <xf numFmtId="0" fontId="1" fillId="15" borderId="9" xfId="0" applyFont="1" applyFill="1" applyBorder="1" applyAlignment="1">
      <alignment horizontal="center" vertical="center"/>
    </xf>
    <xf numFmtId="0" fontId="1" fillId="10" borderId="9" xfId="0" applyFont="1" applyFill="1" applyBorder="1" applyAlignment="1">
      <alignment horizontal="right" vertical="center"/>
    </xf>
    <xf numFmtId="2" fontId="1" fillId="0" borderId="9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13" borderId="9" xfId="0" applyFont="1" applyFill="1" applyBorder="1" applyAlignment="1">
      <alignment horizontal="center" vertical="center"/>
    </xf>
    <xf numFmtId="0" fontId="30" fillId="0" borderId="9" xfId="2" applyFont="1" applyFill="1" applyBorder="1" applyAlignment="1">
      <alignment horizontal="center" vertical="center"/>
    </xf>
    <xf numFmtId="0" fontId="30" fillId="7" borderId="9" xfId="2" applyFont="1" applyFill="1" applyBorder="1" applyAlignment="1">
      <alignment horizontal="center" vertical="center"/>
    </xf>
    <xf numFmtId="1" fontId="5" fillId="0" borderId="9" xfId="0" applyNumberFormat="1" applyFont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1" fontId="5" fillId="13" borderId="9" xfId="0" applyNumberFormat="1" applyFont="1" applyFill="1" applyBorder="1" applyAlignment="1">
      <alignment horizontal="center" vertical="center"/>
    </xf>
    <xf numFmtId="1" fontId="5" fillId="16" borderId="9" xfId="0" applyNumberFormat="1" applyFont="1" applyFill="1" applyBorder="1" applyAlignment="1">
      <alignment horizontal="center" vertical="center"/>
    </xf>
    <xf numFmtId="1" fontId="1" fillId="10" borderId="9" xfId="0" applyNumberFormat="1" applyFont="1" applyFill="1" applyBorder="1" applyAlignment="1">
      <alignment horizontal="right" vertical="center"/>
    </xf>
    <xf numFmtId="0" fontId="32" fillId="0" borderId="0" xfId="0" applyFont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1" fillId="10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0" fillId="7" borderId="9" xfId="2" applyNumberFormat="1" applyFont="1" applyFill="1" applyBorder="1" applyAlignment="1">
      <alignment horizontal="left" vertical="center"/>
    </xf>
    <xf numFmtId="0" fontId="1" fillId="10" borderId="10" xfId="0" applyFont="1" applyFill="1" applyBorder="1" applyAlignment="1">
      <alignment horizontal="center" vertical="center"/>
    </xf>
    <xf numFmtId="0" fontId="1" fillId="10" borderId="12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9" fillId="0" borderId="9" xfId="2" applyNumberFormat="1" applyFont="1" applyFill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12" fillId="0" borderId="9" xfId="2" applyNumberFormat="1" applyFont="1" applyFill="1" applyBorder="1" applyAlignment="1">
      <alignment horizontal="center" vertical="center"/>
    </xf>
    <xf numFmtId="0" fontId="10" fillId="0" borderId="9" xfId="2" applyNumberFormat="1" applyFont="1" applyFill="1" applyBorder="1" applyAlignment="1">
      <alignment horizontal="left" vertical="center"/>
    </xf>
    <xf numFmtId="0" fontId="12" fillId="7" borderId="9" xfId="2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6" fillId="7" borderId="9" xfId="2" applyNumberFormat="1" applyFont="1" applyFill="1" applyBorder="1" applyAlignment="1">
      <alignment horizontal="left" vertical="center"/>
    </xf>
    <xf numFmtId="0" fontId="13" fillId="7" borderId="9" xfId="2" applyNumberFormat="1" applyFont="1" applyFill="1" applyBorder="1" applyAlignment="1">
      <alignment horizontal="left" vertical="center" wrapText="1"/>
    </xf>
    <xf numFmtId="0" fontId="13" fillId="7" borderId="9" xfId="2" applyNumberFormat="1" applyFont="1" applyFill="1" applyBorder="1" applyAlignment="1">
      <alignment horizontal="left" vertical="center"/>
    </xf>
    <xf numFmtId="0" fontId="1" fillId="0" borderId="9" xfId="0" applyFont="1" applyBorder="1" applyAlignment="1">
      <alignment horizontal="left" vertical="center" wrapText="1"/>
    </xf>
    <xf numFmtId="0" fontId="1" fillId="6" borderId="9" xfId="0" applyFont="1" applyFill="1" applyBorder="1" applyAlignment="1">
      <alignment horizontal="center" vertical="center"/>
    </xf>
    <xf numFmtId="0" fontId="5" fillId="13" borderId="10" xfId="0" applyFont="1" applyFill="1" applyBorder="1" applyAlignment="1">
      <alignment horizontal="center" vertical="center"/>
    </xf>
    <xf numFmtId="0" fontId="5" fillId="13" borderId="11" xfId="0" applyFont="1" applyFill="1" applyBorder="1" applyAlignment="1">
      <alignment horizontal="center" vertical="center"/>
    </xf>
    <xf numFmtId="0" fontId="5" fillId="13" borderId="12" xfId="0" applyFont="1" applyFill="1" applyBorder="1" applyAlignment="1">
      <alignment horizontal="center" vertical="center"/>
    </xf>
    <xf numFmtId="0" fontId="26" fillId="7" borderId="9" xfId="2" applyNumberFormat="1" applyFont="1" applyFill="1" applyBorder="1" applyAlignment="1">
      <alignment horizontal="left" vertical="center" wrapText="1"/>
    </xf>
    <xf numFmtId="0" fontId="30" fillId="7" borderId="9" xfId="2" applyNumberFormat="1" applyFont="1" applyFill="1" applyBorder="1" applyAlignment="1">
      <alignment horizontal="left" vertical="center"/>
    </xf>
    <xf numFmtId="0" fontId="31" fillId="7" borderId="9" xfId="2" applyNumberFormat="1" applyFont="1" applyFill="1" applyBorder="1" applyAlignment="1">
      <alignment horizontal="center" vertical="center"/>
    </xf>
    <xf numFmtId="0" fontId="30" fillId="0" borderId="9" xfId="2" applyNumberFormat="1" applyFont="1" applyFill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5" fillId="16" borderId="9" xfId="0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30" fillId="7" borderId="9" xfId="2" applyNumberFormat="1" applyFont="1" applyFill="1" applyBorder="1" applyAlignment="1">
      <alignment horizontal="left" vertical="top"/>
    </xf>
    <xf numFmtId="0" fontId="1" fillId="0" borderId="9" xfId="2" applyNumberFormat="1" applyFont="1" applyFill="1" applyBorder="1" applyAlignment="1">
      <alignment horizontal="left" vertical="center"/>
    </xf>
    <xf numFmtId="0" fontId="31" fillId="0" borderId="9" xfId="2" applyNumberFormat="1" applyFont="1" applyFill="1" applyBorder="1" applyAlignment="1">
      <alignment horizontal="center" vertical="center"/>
    </xf>
    <xf numFmtId="0" fontId="30" fillId="7" borderId="11" xfId="2" applyNumberFormat="1" applyFont="1" applyFill="1" applyBorder="1" applyAlignment="1">
      <alignment horizontal="center" vertical="center"/>
    </xf>
    <xf numFmtId="0" fontId="30" fillId="7" borderId="12" xfId="2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/>
    </xf>
    <xf numFmtId="0" fontId="12" fillId="8" borderId="10" xfId="2" applyNumberFormat="1" applyFont="1" applyFill="1" applyBorder="1" applyAlignment="1">
      <alignment horizontal="center" vertical="top"/>
    </xf>
    <xf numFmtId="0" fontId="12" fillId="8" borderId="11" xfId="2" applyNumberFormat="1" applyFont="1" applyFill="1" applyBorder="1" applyAlignment="1">
      <alignment horizontal="center" vertical="top"/>
    </xf>
    <xf numFmtId="0" fontId="12" fillId="8" borderId="12" xfId="2" applyNumberFormat="1" applyFont="1" applyFill="1" applyBorder="1" applyAlignment="1">
      <alignment horizontal="center" vertical="top"/>
    </xf>
    <xf numFmtId="0" fontId="9" fillId="6" borderId="10" xfId="2" applyNumberFormat="1" applyFont="1" applyFill="1" applyBorder="1" applyAlignment="1">
      <alignment horizontal="left" vertical="top"/>
    </xf>
    <xf numFmtId="0" fontId="9" fillId="6" borderId="11" xfId="2" applyNumberFormat="1" applyFont="1" applyFill="1" applyBorder="1" applyAlignment="1">
      <alignment horizontal="left" vertical="top"/>
    </xf>
    <xf numFmtId="0" fontId="9" fillId="6" borderId="12" xfId="2" applyNumberFormat="1" applyFont="1" applyFill="1" applyBorder="1" applyAlignment="1">
      <alignment horizontal="left" vertical="top"/>
    </xf>
    <xf numFmtId="0" fontId="13" fillId="7" borderId="10" xfId="2" applyNumberFormat="1" applyFont="1" applyFill="1" applyBorder="1" applyAlignment="1">
      <alignment horizontal="left" vertical="top"/>
    </xf>
    <xf numFmtId="0" fontId="13" fillId="7" borderId="11" xfId="2" applyNumberFormat="1" applyFont="1" applyFill="1" applyBorder="1" applyAlignment="1">
      <alignment horizontal="left" vertical="top"/>
    </xf>
    <xf numFmtId="0" fontId="13" fillId="7" borderId="12" xfId="2" applyNumberFormat="1" applyFont="1" applyFill="1" applyBorder="1" applyAlignment="1">
      <alignment horizontal="left" vertical="top"/>
    </xf>
    <xf numFmtId="0" fontId="13" fillId="7" borderId="10" xfId="2" applyNumberFormat="1" applyFont="1" applyFill="1" applyBorder="1" applyAlignment="1">
      <alignment horizontal="left" vertical="top" wrapText="1"/>
    </xf>
    <xf numFmtId="0" fontId="13" fillId="7" borderId="11" xfId="2" applyNumberFormat="1" applyFont="1" applyFill="1" applyBorder="1" applyAlignment="1">
      <alignment horizontal="left" vertical="top" wrapText="1"/>
    </xf>
    <xf numFmtId="0" fontId="13" fillId="7" borderId="12" xfId="2" applyNumberFormat="1" applyFont="1" applyFill="1" applyBorder="1" applyAlignment="1">
      <alignment horizontal="left" vertical="top" wrapText="1"/>
    </xf>
    <xf numFmtId="0" fontId="6" fillId="0" borderId="0" xfId="0" applyFont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9" fillId="6" borderId="31" xfId="2" applyNumberFormat="1" applyFont="1" applyFill="1" applyBorder="1" applyAlignment="1">
      <alignment horizontal="left" vertical="top"/>
    </xf>
    <xf numFmtId="0" fontId="9" fillId="6" borderId="32" xfId="2" applyNumberFormat="1" applyFont="1" applyFill="1" applyBorder="1" applyAlignment="1">
      <alignment horizontal="left" vertical="top"/>
    </xf>
    <xf numFmtId="0" fontId="9" fillId="6" borderId="33" xfId="2" applyNumberFormat="1" applyFont="1" applyFill="1" applyBorder="1" applyAlignment="1">
      <alignment horizontal="left" vertical="top"/>
    </xf>
    <xf numFmtId="0" fontId="10" fillId="7" borderId="10" xfId="2" applyNumberFormat="1" applyFont="1" applyFill="1" applyBorder="1" applyAlignment="1">
      <alignment horizontal="left" vertical="top"/>
    </xf>
    <xf numFmtId="0" fontId="10" fillId="7" borderId="11" xfId="2" applyNumberFormat="1" applyFont="1" applyFill="1" applyBorder="1" applyAlignment="1">
      <alignment horizontal="left" vertical="top"/>
    </xf>
    <xf numFmtId="0" fontId="10" fillId="7" borderId="12" xfId="2" applyNumberFormat="1" applyFont="1" applyFill="1" applyBorder="1" applyAlignment="1">
      <alignment horizontal="left" vertical="top"/>
    </xf>
    <xf numFmtId="0" fontId="10" fillId="7" borderId="10" xfId="2" applyNumberFormat="1" applyFont="1" applyFill="1" applyBorder="1" applyAlignment="1">
      <alignment horizontal="left" vertical="top" wrapText="1"/>
    </xf>
    <xf numFmtId="0" fontId="10" fillId="7" borderId="11" xfId="2" applyNumberFormat="1" applyFont="1" applyFill="1" applyBorder="1" applyAlignment="1">
      <alignment horizontal="left" vertical="top" wrapText="1"/>
    </xf>
    <xf numFmtId="0" fontId="10" fillId="7" borderId="12" xfId="2" applyNumberFormat="1" applyFont="1" applyFill="1" applyBorder="1" applyAlignment="1">
      <alignment horizontal="left" vertical="top" wrapText="1"/>
    </xf>
    <xf numFmtId="0" fontId="12" fillId="7" borderId="10" xfId="2" applyNumberFormat="1" applyFont="1" applyFill="1" applyBorder="1" applyAlignment="1">
      <alignment horizontal="left" vertical="top" wrapText="1"/>
    </xf>
    <xf numFmtId="0" fontId="12" fillId="7" borderId="11" xfId="2" applyNumberFormat="1" applyFont="1" applyFill="1" applyBorder="1" applyAlignment="1">
      <alignment horizontal="left" vertical="top" wrapText="1"/>
    </xf>
    <xf numFmtId="0" fontId="12" fillId="7" borderId="12" xfId="2" applyNumberFormat="1" applyFont="1" applyFill="1" applyBorder="1" applyAlignment="1">
      <alignment horizontal="left" vertical="top" wrapText="1"/>
    </xf>
    <xf numFmtId="0" fontId="12" fillId="7" borderId="10" xfId="2" applyNumberFormat="1" applyFont="1" applyFill="1" applyBorder="1" applyAlignment="1">
      <alignment horizontal="left" vertical="center"/>
    </xf>
    <xf numFmtId="0" fontId="12" fillId="7" borderId="11" xfId="2" applyNumberFormat="1" applyFont="1" applyFill="1" applyBorder="1" applyAlignment="1">
      <alignment horizontal="left" vertical="center"/>
    </xf>
    <xf numFmtId="0" fontId="12" fillId="7" borderId="12" xfId="2" applyNumberFormat="1" applyFont="1" applyFill="1" applyBorder="1" applyAlignment="1">
      <alignment horizontal="left" vertical="center"/>
    </xf>
    <xf numFmtId="0" fontId="12" fillId="7" borderId="10" xfId="2" applyNumberFormat="1" applyFont="1" applyFill="1" applyBorder="1" applyAlignment="1">
      <alignment horizontal="left" vertical="top"/>
    </xf>
    <xf numFmtId="0" fontId="12" fillId="7" borderId="11" xfId="2" applyNumberFormat="1" applyFont="1" applyFill="1" applyBorder="1" applyAlignment="1">
      <alignment horizontal="left" vertical="top"/>
    </xf>
    <xf numFmtId="0" fontId="12" fillId="7" borderId="12" xfId="2" applyNumberFormat="1" applyFont="1" applyFill="1" applyBorder="1" applyAlignment="1">
      <alignment horizontal="left" vertical="top"/>
    </xf>
    <xf numFmtId="49" fontId="17" fillId="2" borderId="28" xfId="1" applyNumberFormat="1" applyFont="1" applyBorder="1" applyAlignment="1">
      <alignment horizontal="center"/>
    </xf>
    <xf numFmtId="49" fontId="17" fillId="2" borderId="29" xfId="1" applyNumberFormat="1" applyFont="1" applyBorder="1" applyAlignment="1">
      <alignment horizontal="center"/>
    </xf>
    <xf numFmtId="0" fontId="16" fillId="7" borderId="10" xfId="1" applyNumberFormat="1" applyFont="1" applyFill="1" applyBorder="1" applyAlignment="1">
      <alignment horizontal="left" vertical="top"/>
    </xf>
    <xf numFmtId="0" fontId="16" fillId="7" borderId="11" xfId="1" applyNumberFormat="1" applyFont="1" applyFill="1" applyBorder="1" applyAlignment="1">
      <alignment horizontal="left" vertical="top"/>
    </xf>
    <xf numFmtId="0" fontId="16" fillId="7" borderId="12" xfId="1" applyNumberFormat="1" applyFont="1" applyFill="1" applyBorder="1" applyAlignment="1">
      <alignment horizontal="left" vertical="top"/>
    </xf>
    <xf numFmtId="0" fontId="9" fillId="6" borderId="10" xfId="2" applyNumberFormat="1" applyFont="1" applyFill="1" applyBorder="1" applyAlignment="1">
      <alignment horizontal="center" vertical="top"/>
    </xf>
    <xf numFmtId="0" fontId="9" fillId="6" borderId="11" xfId="2" applyNumberFormat="1" applyFont="1" applyFill="1" applyBorder="1" applyAlignment="1">
      <alignment horizontal="center" vertical="top"/>
    </xf>
    <xf numFmtId="0" fontId="9" fillId="6" borderId="12" xfId="2" applyNumberFormat="1" applyFont="1" applyFill="1" applyBorder="1" applyAlignment="1">
      <alignment horizontal="center" vertical="top"/>
    </xf>
    <xf numFmtId="0" fontId="9" fillId="9" borderId="10" xfId="2" applyNumberFormat="1" applyFont="1" applyFill="1" applyBorder="1" applyAlignment="1">
      <alignment horizontal="left" vertical="top"/>
    </xf>
    <xf numFmtId="0" fontId="9" fillId="9" borderId="11" xfId="2" applyNumberFormat="1" applyFont="1" applyFill="1" applyBorder="1" applyAlignment="1">
      <alignment horizontal="left" vertical="top"/>
    </xf>
    <xf numFmtId="0" fontId="9" fillId="9" borderId="12" xfId="2" applyNumberFormat="1" applyFont="1" applyFill="1" applyBorder="1" applyAlignment="1">
      <alignment horizontal="left" vertical="top"/>
    </xf>
    <xf numFmtId="0" fontId="18" fillId="9" borderId="10" xfId="1" applyNumberFormat="1" applyFont="1" applyFill="1" applyBorder="1" applyAlignment="1">
      <alignment horizontal="left" vertical="top"/>
    </xf>
    <xf numFmtId="0" fontId="18" fillId="9" borderId="11" xfId="1" applyNumberFormat="1" applyFont="1" applyFill="1" applyBorder="1" applyAlignment="1">
      <alignment horizontal="left" vertical="top"/>
    </xf>
    <xf numFmtId="0" fontId="18" fillId="9" borderId="12" xfId="1" applyNumberFormat="1" applyFont="1" applyFill="1" applyBorder="1" applyAlignment="1">
      <alignment horizontal="left" vertical="top"/>
    </xf>
    <xf numFmtId="0" fontId="18" fillId="10" borderId="10" xfId="1" applyNumberFormat="1" applyFont="1" applyFill="1" applyBorder="1" applyAlignment="1">
      <alignment horizontal="left" vertical="top"/>
    </xf>
    <xf numFmtId="0" fontId="18" fillId="10" borderId="11" xfId="1" applyNumberFormat="1" applyFont="1" applyFill="1" applyBorder="1" applyAlignment="1">
      <alignment horizontal="left" vertical="top"/>
    </xf>
    <xf numFmtId="0" fontId="18" fillId="10" borderId="12" xfId="1" applyNumberFormat="1" applyFont="1" applyFill="1" applyBorder="1" applyAlignment="1">
      <alignment horizontal="left" vertical="top"/>
    </xf>
    <xf numFmtId="0" fontId="19" fillId="0" borderId="10" xfId="2" applyNumberFormat="1" applyFont="1" applyFill="1" applyBorder="1" applyAlignment="1">
      <alignment horizontal="left" vertical="top"/>
    </xf>
    <xf numFmtId="0" fontId="19" fillId="0" borderId="11" xfId="2" applyNumberFormat="1" applyFont="1" applyFill="1" applyBorder="1" applyAlignment="1">
      <alignment horizontal="left" vertical="top"/>
    </xf>
    <xf numFmtId="0" fontId="19" fillId="0" borderId="12" xfId="2" applyNumberFormat="1" applyFont="1" applyFill="1" applyBorder="1" applyAlignment="1">
      <alignment horizontal="left" vertical="top"/>
    </xf>
    <xf numFmtId="0" fontId="18" fillId="8" borderId="10" xfId="1" applyNumberFormat="1" applyFont="1" applyFill="1" applyBorder="1" applyAlignment="1">
      <alignment horizontal="center" vertical="top"/>
    </xf>
    <xf numFmtId="0" fontId="18" fillId="8" borderId="11" xfId="1" applyNumberFormat="1" applyFont="1" applyFill="1" applyBorder="1" applyAlignment="1">
      <alignment horizontal="center" vertical="top"/>
    </xf>
    <xf numFmtId="0" fontId="18" fillId="8" borderId="12" xfId="1" applyNumberFormat="1" applyFont="1" applyFill="1" applyBorder="1" applyAlignment="1">
      <alignment horizontal="center" vertical="top"/>
    </xf>
    <xf numFmtId="0" fontId="12" fillId="0" borderId="10" xfId="2" applyNumberFormat="1" applyFont="1" applyFill="1" applyBorder="1" applyAlignment="1">
      <alignment horizontal="center" vertical="top"/>
    </xf>
    <xf numFmtId="0" fontId="12" fillId="0" borderId="11" xfId="2" applyNumberFormat="1" applyFont="1" applyFill="1" applyBorder="1" applyAlignment="1">
      <alignment horizontal="center" vertical="top"/>
    </xf>
    <xf numFmtId="0" fontId="12" fillId="0" borderId="12" xfId="2" applyNumberFormat="1" applyFont="1" applyFill="1" applyBorder="1" applyAlignment="1">
      <alignment horizontal="center" vertical="top"/>
    </xf>
    <xf numFmtId="0" fontId="10" fillId="0" borderId="10" xfId="2" applyNumberFormat="1" applyFont="1" applyFill="1" applyBorder="1" applyAlignment="1">
      <alignment horizontal="left" vertical="top"/>
    </xf>
    <xf numFmtId="0" fontId="10" fillId="0" borderId="11" xfId="2" applyNumberFormat="1" applyFont="1" applyFill="1" applyBorder="1" applyAlignment="1">
      <alignment horizontal="left" vertical="top"/>
    </xf>
    <xf numFmtId="0" fontId="10" fillId="0" borderId="12" xfId="2" applyNumberFormat="1" applyFont="1" applyFill="1" applyBorder="1" applyAlignment="1">
      <alignment horizontal="left" vertical="top"/>
    </xf>
    <xf numFmtId="0" fontId="12" fillId="9" borderId="10" xfId="2" applyNumberFormat="1" applyFont="1" applyFill="1" applyBorder="1" applyAlignment="1">
      <alignment horizontal="left" vertical="top"/>
    </xf>
    <xf numFmtId="0" fontId="12" fillId="9" borderId="11" xfId="2" applyNumberFormat="1" applyFont="1" applyFill="1" applyBorder="1" applyAlignment="1">
      <alignment horizontal="left" vertical="top"/>
    </xf>
    <xf numFmtId="0" fontId="12" fillId="9" borderId="12" xfId="2" applyNumberFormat="1" applyFont="1" applyFill="1" applyBorder="1" applyAlignment="1">
      <alignment horizontal="left" vertical="top"/>
    </xf>
    <xf numFmtId="0" fontId="22" fillId="12" borderId="18" xfId="3" applyFont="1" applyFill="1" applyBorder="1" applyAlignment="1">
      <alignment horizontal="center" vertical="center"/>
    </xf>
    <xf numFmtId="0" fontId="22" fillId="12" borderId="3" xfId="3" applyFont="1" applyFill="1" applyBorder="1" applyAlignment="1">
      <alignment horizontal="center" vertical="center"/>
    </xf>
    <xf numFmtId="0" fontId="22" fillId="12" borderId="21" xfId="3" applyFont="1" applyFill="1" applyBorder="1" applyAlignment="1">
      <alignment horizontal="center" vertical="center"/>
    </xf>
    <xf numFmtId="0" fontId="23" fillId="13" borderId="18" xfId="3" applyFont="1" applyFill="1" applyBorder="1" applyAlignment="1">
      <alignment horizontal="center" vertical="center"/>
    </xf>
    <xf numFmtId="0" fontId="23" fillId="13" borderId="3" xfId="3" applyFont="1" applyFill="1" applyBorder="1" applyAlignment="1">
      <alignment horizontal="center" vertical="center"/>
    </xf>
    <xf numFmtId="0" fontId="23" fillId="13" borderId="19" xfId="3" applyFont="1" applyFill="1" applyBorder="1" applyAlignment="1">
      <alignment horizontal="center" vertical="center"/>
    </xf>
    <xf numFmtId="0" fontId="24" fillId="14" borderId="24" xfId="3" applyFont="1" applyFill="1" applyBorder="1" applyAlignment="1">
      <alignment horizontal="left" vertical="center" wrapText="1"/>
    </xf>
    <xf numFmtId="0" fontId="24" fillId="14" borderId="25" xfId="3" applyFont="1" applyFill="1" applyBorder="1" applyAlignment="1">
      <alignment horizontal="left" vertical="center" wrapText="1"/>
    </xf>
    <xf numFmtId="0" fontId="24" fillId="14" borderId="26" xfId="3" applyFont="1" applyFill="1" applyBorder="1" applyAlignment="1">
      <alignment horizontal="left" vertical="center" wrapText="1"/>
    </xf>
    <xf numFmtId="0" fontId="24" fillId="14" borderId="27" xfId="3" applyFont="1" applyFill="1" applyBorder="1" applyAlignment="1">
      <alignment horizontal="left" vertical="center" wrapText="1"/>
    </xf>
    <xf numFmtId="0" fontId="12" fillId="7" borderId="10" xfId="2" applyNumberFormat="1" applyFont="1" applyFill="1" applyBorder="1" applyAlignment="1">
      <alignment horizontal="center" vertical="top"/>
    </xf>
    <xf numFmtId="0" fontId="12" fillId="7" borderId="11" xfId="2" applyNumberFormat="1" applyFont="1" applyFill="1" applyBorder="1" applyAlignment="1">
      <alignment horizontal="center" vertical="top"/>
    </xf>
    <xf numFmtId="0" fontId="12" fillId="7" borderId="12" xfId="2" applyNumberFormat="1" applyFont="1" applyFill="1" applyBorder="1" applyAlignment="1">
      <alignment horizontal="center" vertical="top"/>
    </xf>
    <xf numFmtId="0" fontId="12" fillId="8" borderId="28" xfId="2" applyNumberFormat="1" applyFont="1" applyFill="1" applyBorder="1" applyAlignment="1">
      <alignment horizontal="center" vertical="top"/>
    </xf>
    <xf numFmtId="0" fontId="12" fillId="8" borderId="29" xfId="2" applyNumberFormat="1" applyFont="1" applyFill="1" applyBorder="1" applyAlignment="1">
      <alignment horizontal="center" vertical="top"/>
    </xf>
    <xf numFmtId="0" fontId="12" fillId="8" borderId="30" xfId="2" applyNumberFormat="1" applyFont="1" applyFill="1" applyBorder="1" applyAlignment="1">
      <alignment horizontal="center" vertical="top"/>
    </xf>
    <xf numFmtId="49" fontId="17" fillId="11" borderId="2" xfId="1" applyNumberFormat="1" applyFont="1" applyFill="1" applyBorder="1" applyAlignment="1">
      <alignment horizontal="center"/>
    </xf>
    <xf numFmtId="49" fontId="17" fillId="11" borderId="3" xfId="1" applyNumberFormat="1" applyFont="1" applyFill="1" applyBorder="1" applyAlignment="1">
      <alignment horizontal="center"/>
    </xf>
    <xf numFmtId="49" fontId="17" fillId="11" borderId="4" xfId="1" applyNumberFormat="1" applyFont="1" applyFill="1" applyBorder="1" applyAlignment="1">
      <alignment horizontal="center"/>
    </xf>
    <xf numFmtId="0" fontId="7" fillId="12" borderId="18" xfId="3" applyFont="1" applyFill="1" applyBorder="1" applyAlignment="1">
      <alignment horizontal="center" vertical="center"/>
    </xf>
    <xf numFmtId="0" fontId="7" fillId="12" borderId="3" xfId="3" applyFont="1" applyFill="1" applyBorder="1" applyAlignment="1">
      <alignment horizontal="center" vertical="center"/>
    </xf>
    <xf numFmtId="0" fontId="7" fillId="12" borderId="19" xfId="3" applyFont="1" applyFill="1" applyBorder="1" applyAlignment="1">
      <alignment horizontal="center" vertical="center"/>
    </xf>
    <xf numFmtId="41" fontId="1" fillId="0" borderId="9" xfId="4" applyFont="1" applyBorder="1" applyAlignment="1">
      <alignment horizontal="center" vertical="center"/>
    </xf>
    <xf numFmtId="41" fontId="5" fillId="13" borderId="9" xfId="4" applyFont="1" applyFill="1" applyBorder="1" applyAlignment="1">
      <alignment horizontal="center" vertical="center"/>
    </xf>
  </cellXfs>
  <cellStyles count="5">
    <cellStyle name="20 % - Accent4" xfId="2" builtinId="42"/>
    <cellStyle name="20 % - Accent5" xfId="3" builtinId="46"/>
    <cellStyle name="Accent3" xfId="1" builtinId="37"/>
    <cellStyle name="Milliers [0]" xfId="4" builtinId="6"/>
    <cellStyle name="Normal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169"/>
  <sheetViews>
    <sheetView topLeftCell="A4" workbookViewId="0">
      <pane xSplit="1" topLeftCell="B1" activePane="topRight" state="frozen"/>
      <selection activeCell="A4" sqref="A4"/>
      <selection pane="topRight" activeCell="A23" sqref="A23"/>
    </sheetView>
  </sheetViews>
  <sheetFormatPr baseColWidth="10" defaultColWidth="9.109375" defaultRowHeight="15.6" x14ac:dyDescent="0.3"/>
  <cols>
    <col min="1" max="1" width="7.109375" style="105" customWidth="1"/>
    <col min="2" max="2" width="27.88671875" style="105" customWidth="1"/>
    <col min="3" max="3" width="29.5546875" style="105" customWidth="1"/>
    <col min="4" max="4" width="7.88671875" style="105" customWidth="1"/>
    <col min="5" max="8" width="9.109375" style="105"/>
    <col min="9" max="9" width="12.6640625" style="105" customWidth="1"/>
    <col min="10" max="10" width="13.33203125" style="105" customWidth="1"/>
    <col min="11" max="11" width="9.109375" style="105"/>
    <col min="12" max="12" width="9.44140625" style="105" customWidth="1"/>
    <col min="13" max="13" width="11.88671875" style="105" customWidth="1"/>
    <col min="14" max="16384" width="9.109375" style="105"/>
  </cols>
  <sheetData>
    <row r="4" spans="1:14" ht="17.399999999999999" x14ac:dyDescent="0.3">
      <c r="A4" s="138" t="s">
        <v>0</v>
      </c>
      <c r="B4" s="138" t="s">
        <v>1</v>
      </c>
      <c r="C4" s="138"/>
      <c r="D4" s="139" t="s">
        <v>4</v>
      </c>
      <c r="E4" s="138" t="s">
        <v>2</v>
      </c>
      <c r="F4" s="138"/>
      <c r="G4" s="138"/>
      <c r="H4" s="146" t="s">
        <v>316</v>
      </c>
      <c r="I4" s="147"/>
      <c r="J4" s="148"/>
      <c r="K4" s="139" t="s">
        <v>3</v>
      </c>
      <c r="L4" s="138" t="s">
        <v>5</v>
      </c>
      <c r="M4" s="138"/>
      <c r="N4" s="104"/>
    </row>
    <row r="5" spans="1:14" ht="18" x14ac:dyDescent="0.3">
      <c r="A5" s="138"/>
      <c r="B5" s="138"/>
      <c r="C5" s="138"/>
      <c r="D5" s="139"/>
      <c r="E5" s="110" t="s">
        <v>8</v>
      </c>
      <c r="F5" s="110" t="s">
        <v>9</v>
      </c>
      <c r="G5" s="110" t="s">
        <v>10</v>
      </c>
      <c r="H5" s="120" t="s">
        <v>318</v>
      </c>
      <c r="I5" s="110" t="s">
        <v>317</v>
      </c>
      <c r="J5" s="110" t="s">
        <v>319</v>
      </c>
      <c r="K5" s="139"/>
      <c r="L5" s="109" t="s">
        <v>7</v>
      </c>
      <c r="M5" s="109" t="s">
        <v>6</v>
      </c>
    </row>
    <row r="6" spans="1:14" x14ac:dyDescent="0.3">
      <c r="A6" s="112" t="s">
        <v>159</v>
      </c>
      <c r="B6" s="140" t="s">
        <v>27</v>
      </c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2"/>
    </row>
    <row r="7" spans="1:14" ht="18.600000000000001" x14ac:dyDescent="0.3">
      <c r="A7" s="106" t="s">
        <v>160</v>
      </c>
      <c r="B7" s="163" t="s">
        <v>28</v>
      </c>
      <c r="C7" s="163"/>
      <c r="D7" s="121"/>
      <c r="E7" s="106">
        <f>18.8+1*2</f>
        <v>20.8</v>
      </c>
      <c r="F7" s="106">
        <f>15.45+1*2</f>
        <v>17.45</v>
      </c>
      <c r="G7" s="106">
        <v>0.1</v>
      </c>
      <c r="H7" s="106"/>
      <c r="I7" s="106"/>
      <c r="J7" s="106"/>
      <c r="K7" s="106" t="s">
        <v>313</v>
      </c>
      <c r="L7" s="106">
        <f>E7*F7*G7</f>
        <v>36.295999999999999</v>
      </c>
      <c r="M7" s="114">
        <f>L7</f>
        <v>36.295999999999999</v>
      </c>
    </row>
    <row r="8" spans="1:14" ht="18.600000000000001" x14ac:dyDescent="0.3">
      <c r="A8" s="106" t="s">
        <v>205</v>
      </c>
      <c r="B8" s="145" t="s">
        <v>175</v>
      </c>
      <c r="C8" s="145"/>
      <c r="D8" s="106"/>
      <c r="E8" s="106">
        <v>175.56</v>
      </c>
      <c r="F8" s="106">
        <f>0.45</f>
        <v>0.45</v>
      </c>
      <c r="G8" s="106">
        <v>0.5</v>
      </c>
      <c r="H8" s="106"/>
      <c r="I8" s="106"/>
      <c r="J8" s="106"/>
      <c r="K8" s="106" t="s">
        <v>313</v>
      </c>
      <c r="L8" s="106">
        <f>E8*F8*G8</f>
        <v>39.501000000000005</v>
      </c>
      <c r="M8" s="114">
        <f t="shared" ref="M8:M12" si="0">L8</f>
        <v>39.501000000000005</v>
      </c>
    </row>
    <row r="9" spans="1:14" ht="18.600000000000001" x14ac:dyDescent="0.3">
      <c r="A9" s="106" t="s">
        <v>206</v>
      </c>
      <c r="B9" s="145" t="s">
        <v>314</v>
      </c>
      <c r="C9" s="145"/>
      <c r="D9" s="106"/>
      <c r="E9" s="106">
        <v>175.56</v>
      </c>
      <c r="F9" s="106">
        <f>0.45</f>
        <v>0.45</v>
      </c>
      <c r="G9" s="106">
        <v>0.5</v>
      </c>
      <c r="H9" s="106"/>
      <c r="I9" s="106"/>
      <c r="J9" s="106"/>
      <c r="K9" s="106" t="s">
        <v>313</v>
      </c>
      <c r="L9" s="106">
        <f>(E9*F9*G9)*1.5</f>
        <v>59.251500000000007</v>
      </c>
      <c r="M9" s="114">
        <f t="shared" si="0"/>
        <v>59.251500000000007</v>
      </c>
    </row>
    <row r="10" spans="1:14" ht="15.75" customHeight="1" x14ac:dyDescent="0.3">
      <c r="A10" s="106" t="s">
        <v>207</v>
      </c>
      <c r="B10" s="164" t="s">
        <v>33</v>
      </c>
      <c r="C10" s="164"/>
      <c r="D10" s="101"/>
      <c r="E10" s="106">
        <v>18.8</v>
      </c>
      <c r="F10" s="106">
        <v>15.45</v>
      </c>
      <c r="G10" s="106"/>
      <c r="H10" s="106"/>
      <c r="I10" s="106"/>
      <c r="J10" s="106"/>
      <c r="K10" s="106" t="s">
        <v>315</v>
      </c>
      <c r="L10" s="106">
        <f>E10*F10</f>
        <v>290.45999999999998</v>
      </c>
      <c r="M10" s="114">
        <f t="shared" si="0"/>
        <v>290.45999999999998</v>
      </c>
    </row>
    <row r="11" spans="1:14" ht="18.600000000000001" x14ac:dyDescent="0.3">
      <c r="A11" s="106" t="s">
        <v>208</v>
      </c>
      <c r="B11" s="165" t="s">
        <v>35</v>
      </c>
      <c r="C11" s="165"/>
      <c r="D11" s="122"/>
      <c r="E11" s="106">
        <v>18.8</v>
      </c>
      <c r="F11" s="106">
        <v>15.45</v>
      </c>
      <c r="G11" s="106"/>
      <c r="H11" s="106"/>
      <c r="I11" s="106"/>
      <c r="J11" s="106"/>
      <c r="K11" s="106" t="s">
        <v>315</v>
      </c>
      <c r="L11" s="106">
        <f>E11*F11</f>
        <v>290.45999999999998</v>
      </c>
      <c r="M11" s="114">
        <f t="shared" si="0"/>
        <v>290.45999999999998</v>
      </c>
    </row>
    <row r="12" spans="1:14" ht="18.600000000000001" x14ac:dyDescent="0.3">
      <c r="A12" s="106" t="s">
        <v>209</v>
      </c>
      <c r="B12" s="165" t="s">
        <v>36</v>
      </c>
      <c r="C12" s="165"/>
      <c r="D12" s="122"/>
      <c r="E12" s="106">
        <v>18.8</v>
      </c>
      <c r="F12" s="106">
        <v>15.45</v>
      </c>
      <c r="G12" s="106"/>
      <c r="H12" s="106"/>
      <c r="I12" s="106"/>
      <c r="J12" s="106"/>
      <c r="K12" s="106" t="s">
        <v>315</v>
      </c>
      <c r="L12" s="106">
        <f>0.5*(E12*F12)-L8</f>
        <v>105.72899999999998</v>
      </c>
      <c r="M12" s="114">
        <f t="shared" si="0"/>
        <v>105.72899999999998</v>
      </c>
    </row>
    <row r="13" spans="1:14" x14ac:dyDescent="0.3">
      <c r="A13" s="113" t="s">
        <v>161</v>
      </c>
      <c r="B13" s="140" t="s">
        <v>39</v>
      </c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2"/>
    </row>
    <row r="14" spans="1:14" ht="15.75" customHeight="1" x14ac:dyDescent="0.3">
      <c r="A14" s="106" t="s">
        <v>210</v>
      </c>
      <c r="B14" s="143" t="s">
        <v>162</v>
      </c>
      <c r="C14" s="143"/>
      <c r="D14" s="106"/>
      <c r="E14" s="106">
        <v>175.56</v>
      </c>
      <c r="F14" s="106">
        <v>0.45</v>
      </c>
      <c r="G14" s="106">
        <v>0.05</v>
      </c>
      <c r="H14" s="106"/>
      <c r="I14" s="106"/>
      <c r="J14" s="106"/>
      <c r="K14" s="106" t="s">
        <v>313</v>
      </c>
      <c r="L14" s="106">
        <f>E14*F14*G14</f>
        <v>3.9501000000000008</v>
      </c>
      <c r="M14" s="114">
        <f>L14</f>
        <v>3.9501000000000008</v>
      </c>
    </row>
    <row r="15" spans="1:14" ht="18.600000000000001" x14ac:dyDescent="0.3">
      <c r="A15" s="106" t="s">
        <v>211</v>
      </c>
      <c r="B15" s="143" t="s">
        <v>168</v>
      </c>
      <c r="C15" s="143"/>
      <c r="D15" s="106"/>
      <c r="E15" s="106">
        <v>175.56</v>
      </c>
      <c r="F15" s="106">
        <v>0.45</v>
      </c>
      <c r="G15" s="106">
        <v>0.1</v>
      </c>
      <c r="H15" s="106"/>
      <c r="I15" s="106"/>
      <c r="J15" s="106"/>
      <c r="K15" s="106" t="s">
        <v>313</v>
      </c>
      <c r="L15" s="106">
        <f>E15*F15*G15</f>
        <v>7.9002000000000017</v>
      </c>
      <c r="M15" s="114">
        <f>L15</f>
        <v>7.9002000000000017</v>
      </c>
    </row>
    <row r="16" spans="1:14" x14ac:dyDescent="0.3">
      <c r="A16" s="106" t="s">
        <v>212</v>
      </c>
      <c r="B16" s="145" t="s">
        <v>42</v>
      </c>
      <c r="C16" s="145"/>
      <c r="D16" s="106">
        <v>3</v>
      </c>
      <c r="E16" s="106">
        <v>175.56</v>
      </c>
      <c r="F16" s="106"/>
      <c r="G16" s="106"/>
      <c r="H16" s="106">
        <v>8</v>
      </c>
      <c r="I16" s="106">
        <f>(6.165*10^-3)*H16^2</f>
        <v>0.39456000000000002</v>
      </c>
      <c r="J16" s="106"/>
      <c r="K16" s="106" t="s">
        <v>43</v>
      </c>
      <c r="L16" s="106">
        <f>E16*I16</f>
        <v>69.268953600000003</v>
      </c>
      <c r="M16" s="114">
        <f>D16*L16</f>
        <v>207.80686080000001</v>
      </c>
    </row>
    <row r="17" spans="1:13" x14ac:dyDescent="0.3">
      <c r="A17" s="106" t="s">
        <v>213</v>
      </c>
      <c r="B17" s="145" t="s">
        <v>44</v>
      </c>
      <c r="C17" s="145"/>
      <c r="D17" s="106">
        <f>ROUND(E16/J17,0)</f>
        <v>878</v>
      </c>
      <c r="E17" s="106">
        <f>(0.45-0.06)+(10*H17*10^-3)*2</f>
        <v>0.59000000000000008</v>
      </c>
      <c r="F17" s="106"/>
      <c r="G17" s="106"/>
      <c r="H17" s="106">
        <v>10</v>
      </c>
      <c r="I17" s="106">
        <f>(6.165*10^-3)*H17^2</f>
        <v>0.61650000000000005</v>
      </c>
      <c r="J17" s="106">
        <v>0.2</v>
      </c>
      <c r="K17" s="106" t="s">
        <v>43</v>
      </c>
      <c r="L17" s="106">
        <f>E17*I17</f>
        <v>0.36373500000000009</v>
      </c>
      <c r="M17" s="114">
        <f>D17*L17</f>
        <v>319.35933000000006</v>
      </c>
    </row>
    <row r="18" spans="1:13" ht="18.600000000000001" x14ac:dyDescent="0.3">
      <c r="A18" s="106" t="s">
        <v>214</v>
      </c>
      <c r="B18" s="143" t="s">
        <v>169</v>
      </c>
      <c r="C18" s="143"/>
      <c r="D18" s="106">
        <v>45</v>
      </c>
      <c r="E18" s="106">
        <f>0.5-(0.05+0.1)</f>
        <v>0.35</v>
      </c>
      <c r="F18" s="106">
        <v>0.2</v>
      </c>
      <c r="G18" s="106">
        <v>0.2</v>
      </c>
      <c r="H18" s="106"/>
      <c r="I18" s="106"/>
      <c r="J18" s="106"/>
      <c r="K18" s="106" t="s">
        <v>313</v>
      </c>
      <c r="L18" s="106">
        <f>E18*F18*G18</f>
        <v>1.3999999999999999E-2</v>
      </c>
      <c r="M18" s="114">
        <f t="shared" ref="M18:M26" si="1">D18*L18</f>
        <v>0.62999999999999989</v>
      </c>
    </row>
    <row r="19" spans="1:13" ht="16.5" customHeight="1" x14ac:dyDescent="0.3">
      <c r="A19" s="106" t="s">
        <v>215</v>
      </c>
      <c r="B19" s="145" t="s">
        <v>176</v>
      </c>
      <c r="C19" s="145"/>
      <c r="D19" s="106">
        <v>4</v>
      </c>
      <c r="E19" s="123">
        <f>20*H19*10^-3+0.5+60*H19*10^-3</f>
        <v>1.2999999999999998</v>
      </c>
      <c r="F19" s="106"/>
      <c r="G19" s="106"/>
      <c r="H19" s="106">
        <v>10</v>
      </c>
      <c r="I19" s="106">
        <f>(6.165*10^-3)*H19^2</f>
        <v>0.61650000000000005</v>
      </c>
      <c r="J19" s="106"/>
      <c r="K19" s="106" t="s">
        <v>43</v>
      </c>
      <c r="L19" s="106">
        <f>E19*I19*D18</f>
        <v>36.065249999999999</v>
      </c>
      <c r="M19" s="114">
        <f t="shared" si="1"/>
        <v>144.261</v>
      </c>
    </row>
    <row r="20" spans="1:13" ht="16.5" customHeight="1" x14ac:dyDescent="0.3">
      <c r="A20" s="106" t="s">
        <v>216</v>
      </c>
      <c r="B20" s="145" t="s">
        <v>48</v>
      </c>
      <c r="C20" s="145"/>
      <c r="D20" s="106">
        <f>ROUND(0.5/J20,0)</f>
        <v>3</v>
      </c>
      <c r="E20" s="123">
        <f>(0.14*4+2*10*H20*10^-3)</f>
        <v>0.68</v>
      </c>
      <c r="F20" s="106"/>
      <c r="G20" s="106"/>
      <c r="H20" s="106">
        <v>6</v>
      </c>
      <c r="I20" s="106">
        <f>(6.165*10^-3)*H20^2</f>
        <v>0.22194000000000003</v>
      </c>
      <c r="J20" s="106">
        <v>0.2</v>
      </c>
      <c r="K20" s="106" t="s">
        <v>43</v>
      </c>
      <c r="L20" s="106">
        <f>E20*I20*D18</f>
        <v>6.7913640000000015</v>
      </c>
      <c r="M20" s="114">
        <f t="shared" si="1"/>
        <v>20.374092000000005</v>
      </c>
    </row>
    <row r="21" spans="1:13" ht="15.75" customHeight="1" x14ac:dyDescent="0.3">
      <c r="A21" s="106" t="s">
        <v>217</v>
      </c>
      <c r="B21" s="145" t="s">
        <v>183</v>
      </c>
      <c r="C21" s="145"/>
      <c r="D21" s="106">
        <v>4</v>
      </c>
      <c r="E21" s="106"/>
      <c r="F21" s="106">
        <v>0.2</v>
      </c>
      <c r="G21" s="106">
        <v>0.5</v>
      </c>
      <c r="H21" s="106"/>
      <c r="I21" s="106"/>
      <c r="J21" s="106"/>
      <c r="K21" s="106" t="s">
        <v>315</v>
      </c>
      <c r="L21" s="106">
        <f>F21*G21*D18</f>
        <v>4.5</v>
      </c>
      <c r="M21" s="114">
        <f t="shared" si="1"/>
        <v>18</v>
      </c>
    </row>
    <row r="22" spans="1:13" ht="15.75" customHeight="1" x14ac:dyDescent="0.3">
      <c r="A22" s="106" t="s">
        <v>218</v>
      </c>
      <c r="B22" s="143" t="s">
        <v>166</v>
      </c>
      <c r="C22" s="143"/>
      <c r="D22" s="106"/>
      <c r="E22" s="106">
        <v>175.56</v>
      </c>
      <c r="F22" s="106"/>
      <c r="G22" s="106">
        <f>E18</f>
        <v>0.35</v>
      </c>
      <c r="H22" s="106"/>
      <c r="I22" s="106"/>
      <c r="J22" s="106"/>
      <c r="K22" s="106" t="s">
        <v>315</v>
      </c>
      <c r="L22" s="106">
        <f>E22*G22</f>
        <v>61.445999999999998</v>
      </c>
      <c r="M22" s="114">
        <f>L22</f>
        <v>61.445999999999998</v>
      </c>
    </row>
    <row r="23" spans="1:13" ht="16.5" customHeight="1" x14ac:dyDescent="0.3">
      <c r="A23" s="106" t="s">
        <v>219</v>
      </c>
      <c r="B23" s="143" t="s">
        <v>178</v>
      </c>
      <c r="C23" s="143"/>
      <c r="D23" s="106"/>
      <c r="E23" s="106">
        <v>175.56</v>
      </c>
      <c r="F23" s="106">
        <v>0.2</v>
      </c>
      <c r="G23" s="106">
        <v>0.2</v>
      </c>
      <c r="H23" s="106"/>
      <c r="I23" s="106"/>
      <c r="J23" s="106"/>
      <c r="K23" s="106" t="s">
        <v>320</v>
      </c>
      <c r="L23" s="106">
        <f>E23*F23*G23</f>
        <v>7.0224000000000011</v>
      </c>
      <c r="M23" s="114">
        <f>L23</f>
        <v>7.0224000000000011</v>
      </c>
    </row>
    <row r="24" spans="1:13" ht="15.75" customHeight="1" x14ac:dyDescent="0.3">
      <c r="A24" s="106" t="s">
        <v>220</v>
      </c>
      <c r="B24" s="145" t="s">
        <v>177</v>
      </c>
      <c r="C24" s="145"/>
      <c r="D24" s="106">
        <v>4</v>
      </c>
      <c r="E24" s="106">
        <v>175.56</v>
      </c>
      <c r="F24" s="106"/>
      <c r="G24" s="106"/>
      <c r="H24" s="106">
        <v>8</v>
      </c>
      <c r="I24" s="106">
        <f t="shared" ref="I24:I25" si="2">(6.165*10^-3)*H24^2</f>
        <v>0.39456000000000002</v>
      </c>
      <c r="J24" s="106"/>
      <c r="K24" s="106" t="s">
        <v>43</v>
      </c>
      <c r="L24" s="106">
        <f>E24*I24</f>
        <v>69.268953600000003</v>
      </c>
      <c r="M24" s="114">
        <f>D24*L24</f>
        <v>277.07581440000001</v>
      </c>
    </row>
    <row r="25" spans="1:13" ht="15.75" customHeight="1" x14ac:dyDescent="0.3">
      <c r="A25" s="106" t="s">
        <v>221</v>
      </c>
      <c r="B25" s="145" t="s">
        <v>48</v>
      </c>
      <c r="C25" s="145"/>
      <c r="D25" s="106">
        <f>ROUND(E24/J25,0)</f>
        <v>878</v>
      </c>
      <c r="E25" s="123">
        <f>(0.14*4+2*10*H25*10^-3)</f>
        <v>0.68</v>
      </c>
      <c r="F25" s="106"/>
      <c r="G25" s="106"/>
      <c r="H25" s="106">
        <v>6</v>
      </c>
      <c r="I25" s="106">
        <f t="shared" si="2"/>
        <v>0.22194000000000003</v>
      </c>
      <c r="J25" s="106">
        <v>0.2</v>
      </c>
      <c r="K25" s="106" t="s">
        <v>43</v>
      </c>
      <c r="L25" s="106">
        <f>E25*I25</f>
        <v>0.15091920000000003</v>
      </c>
      <c r="M25" s="114">
        <f t="shared" si="1"/>
        <v>132.50705760000002</v>
      </c>
    </row>
    <row r="26" spans="1:13" ht="15.75" customHeight="1" x14ac:dyDescent="0.3">
      <c r="A26" s="106" t="s">
        <v>222</v>
      </c>
      <c r="B26" s="145" t="s">
        <v>183</v>
      </c>
      <c r="C26" s="145"/>
      <c r="D26" s="106">
        <v>2</v>
      </c>
      <c r="E26" s="106">
        <v>175.56</v>
      </c>
      <c r="F26" s="106">
        <v>0.2</v>
      </c>
      <c r="G26" s="106"/>
      <c r="H26" s="106"/>
      <c r="I26" s="106"/>
      <c r="J26" s="106"/>
      <c r="K26" s="106" t="s">
        <v>315</v>
      </c>
      <c r="L26" s="106">
        <f>E26*F26</f>
        <v>35.112000000000002</v>
      </c>
      <c r="M26" s="114">
        <f t="shared" si="1"/>
        <v>70.224000000000004</v>
      </c>
    </row>
    <row r="27" spans="1:13" ht="16.5" customHeight="1" x14ac:dyDescent="0.3">
      <c r="A27" s="106" t="s">
        <v>223</v>
      </c>
      <c r="B27" s="145" t="s">
        <v>181</v>
      </c>
      <c r="C27" s="145"/>
      <c r="D27" s="106"/>
      <c r="E27" s="106">
        <v>18.8</v>
      </c>
      <c r="F27" s="106">
        <v>15.45</v>
      </c>
      <c r="G27" s="106">
        <v>0.08</v>
      </c>
      <c r="H27" s="106"/>
      <c r="I27" s="106"/>
      <c r="J27" s="106"/>
      <c r="K27" s="106" t="s">
        <v>320</v>
      </c>
      <c r="L27" s="106">
        <f>E27*F27*G27</f>
        <v>23.236799999999999</v>
      </c>
      <c r="M27" s="114">
        <f>L27</f>
        <v>23.236799999999999</v>
      </c>
    </row>
    <row r="28" spans="1:13" ht="15.75" customHeight="1" x14ac:dyDescent="0.3">
      <c r="A28" s="113" t="s">
        <v>163</v>
      </c>
      <c r="B28" s="140" t="s">
        <v>164</v>
      </c>
      <c r="C28" s="141"/>
      <c r="D28" s="141"/>
      <c r="E28" s="141"/>
      <c r="F28" s="141"/>
      <c r="G28" s="141"/>
      <c r="H28" s="141"/>
      <c r="I28" s="141"/>
      <c r="J28" s="141"/>
      <c r="K28" s="141"/>
      <c r="L28" s="141"/>
      <c r="M28" s="142"/>
    </row>
    <row r="29" spans="1:13" ht="15.75" customHeight="1" x14ac:dyDescent="0.3">
      <c r="A29" s="115" t="s">
        <v>224</v>
      </c>
      <c r="B29" s="144" t="s">
        <v>56</v>
      </c>
      <c r="C29" s="144"/>
      <c r="D29" s="111"/>
      <c r="E29" s="111"/>
      <c r="F29" s="111"/>
      <c r="G29" s="111"/>
      <c r="H29" s="111"/>
      <c r="I29" s="111"/>
      <c r="J29" s="111"/>
      <c r="K29" s="111"/>
      <c r="L29" s="111"/>
      <c r="M29" s="111"/>
    </row>
    <row r="30" spans="1:13" ht="15.75" customHeight="1" x14ac:dyDescent="0.3">
      <c r="A30" s="114" t="s">
        <v>225</v>
      </c>
      <c r="B30" s="143" t="s">
        <v>170</v>
      </c>
      <c r="C30" s="143"/>
      <c r="D30" s="106">
        <v>45</v>
      </c>
      <c r="E30" s="106">
        <v>2.8</v>
      </c>
      <c r="F30" s="106">
        <v>0.2</v>
      </c>
      <c r="G30" s="106">
        <v>0.2</v>
      </c>
      <c r="H30" s="106"/>
      <c r="I30" s="106"/>
      <c r="J30" s="106"/>
      <c r="K30" s="106" t="s">
        <v>320</v>
      </c>
      <c r="L30" s="106">
        <f>E30*F30*G30</f>
        <v>0.11199999999999999</v>
      </c>
      <c r="M30" s="114">
        <f>D30*L30</f>
        <v>5.0399999999999991</v>
      </c>
    </row>
    <row r="31" spans="1:13" ht="16.5" customHeight="1" x14ac:dyDescent="0.3">
      <c r="A31" s="114" t="s">
        <v>226</v>
      </c>
      <c r="B31" s="145" t="s">
        <v>176</v>
      </c>
      <c r="C31" s="145"/>
      <c r="D31" s="106">
        <v>45</v>
      </c>
      <c r="E31" s="106">
        <v>2.8</v>
      </c>
      <c r="F31" s="106"/>
      <c r="G31" s="106"/>
      <c r="H31" s="106">
        <v>10</v>
      </c>
      <c r="I31" s="106">
        <f>(6.165*10^-3)*H31^2</f>
        <v>0.61650000000000005</v>
      </c>
      <c r="J31" s="106"/>
      <c r="K31" s="106" t="s">
        <v>43</v>
      </c>
      <c r="L31" s="106">
        <f>E31*I31</f>
        <v>1.7262</v>
      </c>
      <c r="M31" s="114">
        <f>D31*L31</f>
        <v>77.679000000000002</v>
      </c>
    </row>
    <row r="32" spans="1:13" ht="15.75" customHeight="1" x14ac:dyDescent="0.3">
      <c r="A32" s="114" t="s">
        <v>227</v>
      </c>
      <c r="B32" s="145" t="s">
        <v>48</v>
      </c>
      <c r="C32" s="145"/>
      <c r="D32" s="106">
        <f>ROUND(E31/J32,0)</f>
        <v>14</v>
      </c>
      <c r="E32" s="119">
        <f>E20</f>
        <v>0.68</v>
      </c>
      <c r="F32" s="106"/>
      <c r="G32" s="106"/>
      <c r="H32" s="106">
        <v>6</v>
      </c>
      <c r="I32" s="106">
        <f t="shared" ref="I32:I62" si="3">(6.165*10^-3)*H32^2</f>
        <v>0.22194000000000003</v>
      </c>
      <c r="J32" s="106">
        <v>0.2</v>
      </c>
      <c r="K32" s="106" t="s">
        <v>43</v>
      </c>
      <c r="L32" s="106">
        <f>E32*I32*D31</f>
        <v>6.7913640000000015</v>
      </c>
      <c r="M32" s="114">
        <f>D32*L32</f>
        <v>95.079096000000021</v>
      </c>
    </row>
    <row r="33" spans="1:13" ht="18.600000000000001" x14ac:dyDescent="0.3">
      <c r="A33" s="114" t="s">
        <v>228</v>
      </c>
      <c r="B33" s="145" t="s">
        <v>183</v>
      </c>
      <c r="C33" s="145"/>
      <c r="D33" s="106">
        <v>4</v>
      </c>
      <c r="E33" s="106"/>
      <c r="F33" s="106">
        <v>0.2</v>
      </c>
      <c r="G33" s="106">
        <v>2.8</v>
      </c>
      <c r="H33" s="106"/>
      <c r="I33" s="106"/>
      <c r="J33" s="106"/>
      <c r="K33" s="106" t="s">
        <v>315</v>
      </c>
      <c r="L33" s="106">
        <f>F33*G33*D31</f>
        <v>25.199999999999996</v>
      </c>
      <c r="M33" s="114">
        <f t="shared" ref="M33:M48" si="4">D33*L33</f>
        <v>100.79999999999998</v>
      </c>
    </row>
    <row r="34" spans="1:13" ht="18.600000000000001" x14ac:dyDescent="0.3">
      <c r="A34" s="114" t="s">
        <v>229</v>
      </c>
      <c r="B34" s="143" t="s">
        <v>167</v>
      </c>
      <c r="C34" s="143"/>
      <c r="D34" s="106"/>
      <c r="E34" s="106">
        <v>175.56</v>
      </c>
      <c r="F34" s="106"/>
      <c r="G34" s="106">
        <v>2.8</v>
      </c>
      <c r="H34" s="106"/>
      <c r="I34" s="106"/>
      <c r="J34" s="106"/>
      <c r="K34" s="106" t="s">
        <v>315</v>
      </c>
      <c r="L34" s="106">
        <f>E34*G34</f>
        <v>491.56799999999998</v>
      </c>
      <c r="M34" s="114">
        <f>L34</f>
        <v>491.56799999999998</v>
      </c>
    </row>
    <row r="35" spans="1:13" ht="18.600000000000001" x14ac:dyDescent="0.3">
      <c r="A35" s="114" t="s">
        <v>230</v>
      </c>
      <c r="B35" s="143" t="s">
        <v>171</v>
      </c>
      <c r="C35" s="143"/>
      <c r="D35" s="106"/>
      <c r="E35" s="106">
        <v>175.56</v>
      </c>
      <c r="F35" s="106">
        <v>0.2</v>
      </c>
      <c r="G35" s="106">
        <v>0.2</v>
      </c>
      <c r="H35" s="106"/>
      <c r="I35" s="106"/>
      <c r="J35" s="106"/>
      <c r="K35" s="106" t="s">
        <v>320</v>
      </c>
      <c r="L35" s="106">
        <f>E35*F35*G35</f>
        <v>7.0224000000000011</v>
      </c>
      <c r="M35" s="114">
        <f>L35</f>
        <v>7.0224000000000011</v>
      </c>
    </row>
    <row r="36" spans="1:13" x14ac:dyDescent="0.3">
      <c r="A36" s="114" t="s">
        <v>231</v>
      </c>
      <c r="B36" s="145" t="s">
        <v>177</v>
      </c>
      <c r="C36" s="145"/>
      <c r="D36" s="106">
        <v>4</v>
      </c>
      <c r="E36" s="106">
        <v>175.56</v>
      </c>
      <c r="F36" s="106"/>
      <c r="G36" s="106"/>
      <c r="H36" s="106">
        <v>8</v>
      </c>
      <c r="I36" s="106">
        <f t="shared" si="3"/>
        <v>0.39456000000000002</v>
      </c>
      <c r="J36" s="106"/>
      <c r="K36" s="106" t="s">
        <v>43</v>
      </c>
      <c r="L36" s="106">
        <f>E36*I36</f>
        <v>69.268953600000003</v>
      </c>
      <c r="M36" s="114">
        <f t="shared" si="4"/>
        <v>277.07581440000001</v>
      </c>
    </row>
    <row r="37" spans="1:13" x14ac:dyDescent="0.3">
      <c r="A37" s="114" t="s">
        <v>232</v>
      </c>
      <c r="B37" s="145" t="s">
        <v>48</v>
      </c>
      <c r="C37" s="145"/>
      <c r="D37" s="106">
        <f>ROUND(E36/J37,0)</f>
        <v>878</v>
      </c>
      <c r="E37" s="106">
        <f>E32</f>
        <v>0.68</v>
      </c>
      <c r="F37" s="106"/>
      <c r="G37" s="106"/>
      <c r="H37" s="106">
        <v>6</v>
      </c>
      <c r="I37" s="106">
        <f t="shared" si="3"/>
        <v>0.22194000000000003</v>
      </c>
      <c r="J37" s="106">
        <v>0.2</v>
      </c>
      <c r="K37" s="106" t="s">
        <v>43</v>
      </c>
      <c r="L37" s="106">
        <f>E37*I37</f>
        <v>0.15091920000000003</v>
      </c>
      <c r="M37" s="114">
        <f t="shared" si="4"/>
        <v>132.50705760000002</v>
      </c>
    </row>
    <row r="38" spans="1:13" ht="18.600000000000001" x14ac:dyDescent="0.3">
      <c r="A38" s="114" t="s">
        <v>233</v>
      </c>
      <c r="B38" s="145" t="s">
        <v>183</v>
      </c>
      <c r="C38" s="145"/>
      <c r="D38" s="106">
        <v>2</v>
      </c>
      <c r="E38" s="106">
        <v>175.56</v>
      </c>
      <c r="F38" s="106">
        <v>0.2</v>
      </c>
      <c r="G38" s="106"/>
      <c r="H38" s="106"/>
      <c r="I38" s="106"/>
      <c r="J38" s="106"/>
      <c r="K38" s="106" t="s">
        <v>315</v>
      </c>
      <c r="L38" s="106">
        <f>E38*F38</f>
        <v>35.112000000000002</v>
      </c>
      <c r="M38" s="114">
        <f t="shared" si="4"/>
        <v>70.224000000000004</v>
      </c>
    </row>
    <row r="39" spans="1:13" ht="18.600000000000001" x14ac:dyDescent="0.3">
      <c r="A39" s="114" t="s">
        <v>234</v>
      </c>
      <c r="B39" s="143" t="s">
        <v>172</v>
      </c>
      <c r="C39" s="143"/>
      <c r="D39" s="106"/>
      <c r="E39" s="106">
        <v>175.56</v>
      </c>
      <c r="F39" s="106">
        <v>0.2</v>
      </c>
      <c r="G39" s="106">
        <v>0.2</v>
      </c>
      <c r="H39" s="106"/>
      <c r="I39" s="106"/>
      <c r="J39" s="106"/>
      <c r="K39" s="106" t="s">
        <v>320</v>
      </c>
      <c r="L39" s="106">
        <f>E39*F39*G39</f>
        <v>7.0224000000000011</v>
      </c>
      <c r="M39" s="114">
        <f>L39</f>
        <v>7.0224000000000011</v>
      </c>
    </row>
    <row r="40" spans="1:13" x14ac:dyDescent="0.3">
      <c r="A40" s="114" t="s">
        <v>235</v>
      </c>
      <c r="B40" s="145" t="s">
        <v>177</v>
      </c>
      <c r="C40" s="145"/>
      <c r="D40" s="106">
        <v>4</v>
      </c>
      <c r="E40" s="106">
        <v>175.56</v>
      </c>
      <c r="F40" s="106"/>
      <c r="G40" s="106"/>
      <c r="H40" s="106">
        <v>8</v>
      </c>
      <c r="I40" s="106">
        <f t="shared" si="3"/>
        <v>0.39456000000000002</v>
      </c>
      <c r="J40" s="106"/>
      <c r="K40" s="106" t="s">
        <v>43</v>
      </c>
      <c r="L40" s="106">
        <f>E40*I40</f>
        <v>69.268953600000003</v>
      </c>
      <c r="M40" s="114">
        <f t="shared" si="4"/>
        <v>277.07581440000001</v>
      </c>
    </row>
    <row r="41" spans="1:13" x14ac:dyDescent="0.3">
      <c r="A41" s="114" t="s">
        <v>236</v>
      </c>
      <c r="B41" s="145" t="s">
        <v>48</v>
      </c>
      <c r="C41" s="145"/>
      <c r="D41" s="106">
        <f>ROUND(E40/J41,0)</f>
        <v>878</v>
      </c>
      <c r="E41" s="106">
        <f>E37</f>
        <v>0.68</v>
      </c>
      <c r="F41" s="106"/>
      <c r="G41" s="106"/>
      <c r="H41" s="106">
        <v>6</v>
      </c>
      <c r="I41" s="106">
        <f t="shared" si="3"/>
        <v>0.22194000000000003</v>
      </c>
      <c r="J41" s="106">
        <v>0.2</v>
      </c>
      <c r="K41" s="106" t="s">
        <v>43</v>
      </c>
      <c r="L41" s="106">
        <f>E41*I41</f>
        <v>0.15091920000000003</v>
      </c>
      <c r="M41" s="114">
        <f t="shared" si="4"/>
        <v>132.50705760000002</v>
      </c>
    </row>
    <row r="42" spans="1:13" ht="18.600000000000001" x14ac:dyDescent="0.3">
      <c r="A42" s="114" t="s">
        <v>237</v>
      </c>
      <c r="B42" s="145" t="s">
        <v>183</v>
      </c>
      <c r="C42" s="145"/>
      <c r="D42" s="106">
        <v>2</v>
      </c>
      <c r="E42" s="106">
        <v>175.56</v>
      </c>
      <c r="F42" s="106">
        <v>0.2</v>
      </c>
      <c r="G42" s="106"/>
      <c r="H42" s="106"/>
      <c r="I42" s="106">
        <f t="shared" si="3"/>
        <v>0</v>
      </c>
      <c r="J42" s="106"/>
      <c r="K42" s="106" t="s">
        <v>315</v>
      </c>
      <c r="L42" s="106">
        <f>E42*F42</f>
        <v>35.112000000000002</v>
      </c>
      <c r="M42" s="114">
        <f t="shared" si="4"/>
        <v>70.224000000000004</v>
      </c>
    </row>
    <row r="43" spans="1:13" ht="31.5" customHeight="1" x14ac:dyDescent="0.3">
      <c r="A43" s="114" t="s">
        <v>238</v>
      </c>
      <c r="B43" s="149" t="s">
        <v>174</v>
      </c>
      <c r="C43" s="149"/>
      <c r="D43" s="106"/>
      <c r="E43" s="106">
        <v>18.8</v>
      </c>
      <c r="F43" s="106">
        <v>15.45</v>
      </c>
      <c r="G43" s="106">
        <v>0.15</v>
      </c>
      <c r="H43" s="106"/>
      <c r="I43" s="106">
        <f t="shared" si="3"/>
        <v>0</v>
      </c>
      <c r="J43" s="106"/>
      <c r="K43" s="106" t="s">
        <v>320</v>
      </c>
      <c r="L43" s="106">
        <f>E43*F43*G43</f>
        <v>43.568999999999996</v>
      </c>
      <c r="M43" s="114">
        <f>L43</f>
        <v>43.568999999999996</v>
      </c>
    </row>
    <row r="44" spans="1:13" ht="15" customHeight="1" x14ac:dyDescent="0.3">
      <c r="A44" s="114" t="s">
        <v>239</v>
      </c>
      <c r="B44" s="166" t="s">
        <v>180</v>
      </c>
      <c r="C44" s="166"/>
      <c r="D44" s="106"/>
      <c r="E44" s="106"/>
      <c r="F44" s="106"/>
      <c r="G44" s="106"/>
      <c r="H44" s="106">
        <v>10</v>
      </c>
      <c r="I44" s="106">
        <f t="shared" si="3"/>
        <v>0.61650000000000005</v>
      </c>
      <c r="J44" s="106"/>
      <c r="K44" s="106" t="s">
        <v>43</v>
      </c>
      <c r="L44" s="106">
        <f>60*L43</f>
        <v>2614.14</v>
      </c>
      <c r="M44" s="106">
        <f>L44</f>
        <v>2614.14</v>
      </c>
    </row>
    <row r="45" spans="1:13" ht="15" customHeight="1" x14ac:dyDescent="0.3">
      <c r="A45" s="114" t="s">
        <v>240</v>
      </c>
      <c r="B45" s="150" t="s">
        <v>322</v>
      </c>
      <c r="C45" s="151"/>
      <c r="D45" s="106"/>
      <c r="E45" s="106">
        <v>18.8</v>
      </c>
      <c r="F45" s="106">
        <v>15.45</v>
      </c>
      <c r="G45" s="106"/>
      <c r="H45" s="106"/>
      <c r="I45" s="106"/>
      <c r="J45" s="106"/>
      <c r="K45" s="106"/>
      <c r="L45" s="106">
        <f>ROUND((E45/0.8)*(F45/0.8),0)</f>
        <v>454</v>
      </c>
      <c r="M45" s="106">
        <f>L45</f>
        <v>454</v>
      </c>
    </row>
    <row r="46" spans="1:13" ht="18.600000000000001" x14ac:dyDescent="0.3">
      <c r="A46" s="114" t="s">
        <v>241</v>
      </c>
      <c r="B46" s="143" t="s">
        <v>173</v>
      </c>
      <c r="C46" s="143"/>
      <c r="D46" s="106"/>
      <c r="E46" s="106"/>
      <c r="F46" s="106"/>
      <c r="G46" s="106"/>
      <c r="H46" s="106"/>
      <c r="I46" s="106">
        <f t="shared" si="3"/>
        <v>0</v>
      </c>
      <c r="J46" s="106"/>
      <c r="K46" s="106" t="s">
        <v>320</v>
      </c>
      <c r="L46" s="106">
        <f>0.9+0.98+0.96+0.2</f>
        <v>3.04</v>
      </c>
      <c r="M46" s="114">
        <f>L46</f>
        <v>3.04</v>
      </c>
    </row>
    <row r="47" spans="1:13" x14ac:dyDescent="0.3">
      <c r="A47" s="114" t="s">
        <v>242</v>
      </c>
      <c r="B47" s="145" t="s">
        <v>176</v>
      </c>
      <c r="C47" s="145"/>
      <c r="D47" s="106">
        <v>16</v>
      </c>
      <c r="E47" s="106">
        <v>4.54</v>
      </c>
      <c r="F47" s="106"/>
      <c r="G47" s="106"/>
      <c r="H47" s="106">
        <v>10</v>
      </c>
      <c r="I47" s="106">
        <f t="shared" si="3"/>
        <v>0.61650000000000005</v>
      </c>
      <c r="J47" s="106"/>
      <c r="K47" s="106" t="s">
        <v>43</v>
      </c>
      <c r="L47" s="106">
        <f>E47*I47</f>
        <v>2.7989100000000002</v>
      </c>
      <c r="M47" s="114">
        <f t="shared" si="4"/>
        <v>44.782560000000004</v>
      </c>
    </row>
    <row r="48" spans="1:13" x14ac:dyDescent="0.3">
      <c r="A48" s="114" t="s">
        <v>243</v>
      </c>
      <c r="B48" s="145" t="s">
        <v>179</v>
      </c>
      <c r="C48" s="145"/>
      <c r="D48" s="106">
        <v>19</v>
      </c>
      <c r="E48" s="106">
        <v>1.45</v>
      </c>
      <c r="F48" s="106"/>
      <c r="G48" s="106"/>
      <c r="H48" s="106">
        <v>8</v>
      </c>
      <c r="I48" s="106">
        <f t="shared" si="3"/>
        <v>0.39456000000000002</v>
      </c>
      <c r="J48" s="106"/>
      <c r="K48" s="106" t="s">
        <v>43</v>
      </c>
      <c r="L48" s="106">
        <f>E48*I48</f>
        <v>0.57211200000000006</v>
      </c>
      <c r="M48" s="114">
        <f t="shared" si="4"/>
        <v>10.870128000000001</v>
      </c>
    </row>
    <row r="49" spans="1:13" x14ac:dyDescent="0.3">
      <c r="A49" s="115" t="s">
        <v>244</v>
      </c>
      <c r="B49" s="144" t="s">
        <v>165</v>
      </c>
      <c r="C49" s="144"/>
      <c r="D49" s="111"/>
      <c r="E49" s="111"/>
      <c r="F49" s="111"/>
      <c r="G49" s="111"/>
      <c r="H49" s="111"/>
      <c r="I49" s="111"/>
      <c r="J49" s="111"/>
      <c r="K49" s="111"/>
      <c r="L49" s="111"/>
      <c r="M49" s="124"/>
    </row>
    <row r="50" spans="1:13" ht="18.600000000000001" x14ac:dyDescent="0.3">
      <c r="A50" s="106" t="s">
        <v>245</v>
      </c>
      <c r="B50" s="143" t="s">
        <v>170</v>
      </c>
      <c r="C50" s="143"/>
      <c r="D50" s="106">
        <v>45</v>
      </c>
      <c r="E50" s="106">
        <v>2.8</v>
      </c>
      <c r="F50" s="106">
        <v>0.2</v>
      </c>
      <c r="G50" s="106">
        <v>0.2</v>
      </c>
      <c r="H50" s="106"/>
      <c r="I50" s="106"/>
      <c r="J50" s="106"/>
      <c r="K50" s="106" t="s">
        <v>320</v>
      </c>
      <c r="L50" s="106">
        <f>E50*F50*G50</f>
        <v>0.11199999999999999</v>
      </c>
      <c r="M50" s="114">
        <f>D50*L50</f>
        <v>5.0399999999999991</v>
      </c>
    </row>
    <row r="51" spans="1:13" x14ac:dyDescent="0.3">
      <c r="A51" s="106" t="s">
        <v>246</v>
      </c>
      <c r="B51" s="145" t="s">
        <v>176</v>
      </c>
      <c r="C51" s="145"/>
      <c r="D51" s="106">
        <v>45</v>
      </c>
      <c r="E51" s="106">
        <v>2.8</v>
      </c>
      <c r="F51" s="106"/>
      <c r="G51" s="106"/>
      <c r="H51" s="106">
        <v>10</v>
      </c>
      <c r="I51" s="106">
        <f>(6.165*10^-3)*H51^2</f>
        <v>0.61650000000000005</v>
      </c>
      <c r="J51" s="106"/>
      <c r="K51" s="106" t="s">
        <v>43</v>
      </c>
      <c r="L51" s="106">
        <f>E51*I51</f>
        <v>1.7262</v>
      </c>
      <c r="M51" s="114">
        <f>D51*L51</f>
        <v>77.679000000000002</v>
      </c>
    </row>
    <row r="52" spans="1:13" x14ac:dyDescent="0.3">
      <c r="A52" s="106" t="s">
        <v>247</v>
      </c>
      <c r="B52" s="145" t="s">
        <v>48</v>
      </c>
      <c r="C52" s="145"/>
      <c r="D52" s="106">
        <f>ROUND(E51/J52,0)</f>
        <v>14</v>
      </c>
      <c r="E52" s="119">
        <f>E40</f>
        <v>175.56</v>
      </c>
      <c r="F52" s="106"/>
      <c r="G52" s="106"/>
      <c r="H52" s="106">
        <v>6</v>
      </c>
      <c r="I52" s="106">
        <f t="shared" si="3"/>
        <v>0.22194000000000003</v>
      </c>
      <c r="J52" s="106">
        <v>0.2</v>
      </c>
      <c r="K52" s="106" t="s">
        <v>43</v>
      </c>
      <c r="L52" s="106">
        <f>E52*I52*D51</f>
        <v>1753.3703880000003</v>
      </c>
      <c r="M52" s="114">
        <f>D52*L52</f>
        <v>24547.185432000006</v>
      </c>
    </row>
    <row r="53" spans="1:13" ht="18.600000000000001" x14ac:dyDescent="0.3">
      <c r="A53" s="106" t="s">
        <v>248</v>
      </c>
      <c r="B53" s="145" t="s">
        <v>183</v>
      </c>
      <c r="C53" s="145"/>
      <c r="D53" s="106">
        <v>4</v>
      </c>
      <c r="E53" s="106"/>
      <c r="F53" s="106">
        <v>0.2</v>
      </c>
      <c r="G53" s="106">
        <v>2.8</v>
      </c>
      <c r="H53" s="106"/>
      <c r="I53" s="106"/>
      <c r="J53" s="106"/>
      <c r="K53" s="106" t="s">
        <v>315</v>
      </c>
      <c r="L53" s="106">
        <f>F53*G53*D51</f>
        <v>25.199999999999996</v>
      </c>
      <c r="M53" s="114">
        <f t="shared" ref="M53" si="5">D53*L53</f>
        <v>100.79999999999998</v>
      </c>
    </row>
    <row r="54" spans="1:13" ht="18.600000000000001" x14ac:dyDescent="0.3">
      <c r="A54" s="106" t="s">
        <v>249</v>
      </c>
      <c r="B54" s="143" t="s">
        <v>167</v>
      </c>
      <c r="C54" s="143"/>
      <c r="D54" s="106"/>
      <c r="E54" s="106">
        <v>175.56</v>
      </c>
      <c r="F54" s="106"/>
      <c r="G54" s="106">
        <v>2.8</v>
      </c>
      <c r="H54" s="106"/>
      <c r="I54" s="106"/>
      <c r="J54" s="106"/>
      <c r="K54" s="106" t="s">
        <v>315</v>
      </c>
      <c r="L54" s="106">
        <f>E54*G54</f>
        <v>491.56799999999998</v>
      </c>
      <c r="M54" s="114">
        <f>L54</f>
        <v>491.56799999999998</v>
      </c>
    </row>
    <row r="55" spans="1:13" ht="18.600000000000001" x14ac:dyDescent="0.3">
      <c r="A55" s="106" t="s">
        <v>250</v>
      </c>
      <c r="B55" s="143" t="s">
        <v>171</v>
      </c>
      <c r="C55" s="143"/>
      <c r="D55" s="106"/>
      <c r="E55" s="106">
        <v>175.56</v>
      </c>
      <c r="F55" s="106">
        <v>0.2</v>
      </c>
      <c r="G55" s="106">
        <v>0.2</v>
      </c>
      <c r="H55" s="106"/>
      <c r="I55" s="106"/>
      <c r="J55" s="106"/>
      <c r="K55" s="106" t="s">
        <v>320</v>
      </c>
      <c r="L55" s="106">
        <f>E55*F55*G55</f>
        <v>7.0224000000000011</v>
      </c>
      <c r="M55" s="114">
        <f>L55</f>
        <v>7.0224000000000011</v>
      </c>
    </row>
    <row r="56" spans="1:13" x14ac:dyDescent="0.3">
      <c r="A56" s="106" t="s">
        <v>251</v>
      </c>
      <c r="B56" s="145" t="s">
        <v>177</v>
      </c>
      <c r="C56" s="145"/>
      <c r="D56" s="106">
        <v>4</v>
      </c>
      <c r="E56" s="106">
        <v>175.56</v>
      </c>
      <c r="F56" s="106"/>
      <c r="G56" s="106"/>
      <c r="H56" s="106">
        <v>8</v>
      </c>
      <c r="I56" s="106">
        <f t="shared" si="3"/>
        <v>0.39456000000000002</v>
      </c>
      <c r="J56" s="106"/>
      <c r="K56" s="106" t="s">
        <v>43</v>
      </c>
      <c r="L56" s="106">
        <f>E56*I56</f>
        <v>69.268953600000003</v>
      </c>
      <c r="M56" s="114">
        <f t="shared" ref="M56:M58" si="6">D56*L56</f>
        <v>277.07581440000001</v>
      </c>
    </row>
    <row r="57" spans="1:13" x14ac:dyDescent="0.3">
      <c r="A57" s="106" t="s">
        <v>252</v>
      </c>
      <c r="B57" s="145" t="s">
        <v>48</v>
      </c>
      <c r="C57" s="145"/>
      <c r="D57" s="106">
        <f>ROUND(E56/J57,0)</f>
        <v>878</v>
      </c>
      <c r="E57" s="106">
        <f>E52</f>
        <v>175.56</v>
      </c>
      <c r="F57" s="106"/>
      <c r="G57" s="106"/>
      <c r="H57" s="106">
        <v>6</v>
      </c>
      <c r="I57" s="106">
        <f t="shared" si="3"/>
        <v>0.22194000000000003</v>
      </c>
      <c r="J57" s="106">
        <v>0.2</v>
      </c>
      <c r="K57" s="106" t="s">
        <v>43</v>
      </c>
      <c r="L57" s="106">
        <f>E57*I57</f>
        <v>38.963786400000004</v>
      </c>
      <c r="M57" s="114">
        <f t="shared" si="6"/>
        <v>34210.204459200002</v>
      </c>
    </row>
    <row r="58" spans="1:13" ht="18.600000000000001" x14ac:dyDescent="0.3">
      <c r="A58" s="106" t="s">
        <v>253</v>
      </c>
      <c r="B58" s="145" t="s">
        <v>183</v>
      </c>
      <c r="C58" s="145"/>
      <c r="D58" s="106">
        <v>2</v>
      </c>
      <c r="E58" s="106">
        <v>175.56</v>
      </c>
      <c r="F58" s="106">
        <v>0.2</v>
      </c>
      <c r="G58" s="106"/>
      <c r="H58" s="106"/>
      <c r="I58" s="106"/>
      <c r="J58" s="106"/>
      <c r="K58" s="106" t="s">
        <v>315</v>
      </c>
      <c r="L58" s="106">
        <f>E58*F58</f>
        <v>35.112000000000002</v>
      </c>
      <c r="M58" s="114">
        <f t="shared" si="6"/>
        <v>70.224000000000004</v>
      </c>
    </row>
    <row r="59" spans="1:13" ht="18.600000000000001" x14ac:dyDescent="0.3">
      <c r="A59" s="106" t="s">
        <v>254</v>
      </c>
      <c r="B59" s="143" t="s">
        <v>172</v>
      </c>
      <c r="C59" s="143"/>
      <c r="D59" s="106"/>
      <c r="E59" s="106">
        <v>175.56</v>
      </c>
      <c r="F59" s="106">
        <v>0.2</v>
      </c>
      <c r="G59" s="106">
        <v>0.2</v>
      </c>
      <c r="H59" s="106"/>
      <c r="I59" s="106"/>
      <c r="J59" s="106"/>
      <c r="K59" s="106" t="s">
        <v>320</v>
      </c>
      <c r="L59" s="106">
        <f>E59*F59*G59</f>
        <v>7.0224000000000011</v>
      </c>
      <c r="M59" s="114">
        <f>L59</f>
        <v>7.0224000000000011</v>
      </c>
    </row>
    <row r="60" spans="1:13" x14ac:dyDescent="0.3">
      <c r="A60" s="106" t="s">
        <v>255</v>
      </c>
      <c r="B60" s="145" t="s">
        <v>177</v>
      </c>
      <c r="C60" s="145"/>
      <c r="D60" s="106">
        <v>4</v>
      </c>
      <c r="E60" s="106">
        <v>175.56</v>
      </c>
      <c r="F60" s="106"/>
      <c r="G60" s="106"/>
      <c r="H60" s="106">
        <v>8</v>
      </c>
      <c r="I60" s="106">
        <f t="shared" si="3"/>
        <v>0.39456000000000002</v>
      </c>
      <c r="J60" s="106"/>
      <c r="K60" s="106" t="s">
        <v>43</v>
      </c>
      <c r="L60" s="106">
        <f>E60*I60</f>
        <v>69.268953600000003</v>
      </c>
      <c r="M60" s="114">
        <f t="shared" ref="M60:M62" si="7">D60*L60</f>
        <v>277.07581440000001</v>
      </c>
    </row>
    <row r="61" spans="1:13" x14ac:dyDescent="0.3">
      <c r="A61" s="106" t="s">
        <v>256</v>
      </c>
      <c r="B61" s="145" t="s">
        <v>48</v>
      </c>
      <c r="C61" s="145"/>
      <c r="D61" s="106">
        <f>ROUND(E60/J61,0)</f>
        <v>878</v>
      </c>
      <c r="E61" s="106">
        <f>E57</f>
        <v>175.56</v>
      </c>
      <c r="F61" s="106"/>
      <c r="G61" s="106"/>
      <c r="H61" s="106">
        <v>6</v>
      </c>
      <c r="I61" s="106">
        <f t="shared" si="3"/>
        <v>0.22194000000000003</v>
      </c>
      <c r="J61" s="106">
        <v>0.2</v>
      </c>
      <c r="K61" s="106" t="s">
        <v>43</v>
      </c>
      <c r="L61" s="106">
        <f>E61*I61</f>
        <v>38.963786400000004</v>
      </c>
      <c r="M61" s="114">
        <f t="shared" si="7"/>
        <v>34210.204459200002</v>
      </c>
    </row>
    <row r="62" spans="1:13" ht="18.600000000000001" x14ac:dyDescent="0.3">
      <c r="A62" s="106" t="s">
        <v>321</v>
      </c>
      <c r="B62" s="145" t="s">
        <v>183</v>
      </c>
      <c r="C62" s="145"/>
      <c r="D62" s="106">
        <v>2</v>
      </c>
      <c r="E62" s="106">
        <v>175.56</v>
      </c>
      <c r="F62" s="106">
        <v>0.2</v>
      </c>
      <c r="G62" s="106"/>
      <c r="H62" s="106"/>
      <c r="I62" s="106">
        <f t="shared" si="3"/>
        <v>0</v>
      </c>
      <c r="J62" s="106"/>
      <c r="K62" s="106" t="s">
        <v>315</v>
      </c>
      <c r="L62" s="106">
        <f>E62*F62</f>
        <v>35.112000000000002</v>
      </c>
      <c r="M62" s="114">
        <f t="shared" si="7"/>
        <v>70.224000000000004</v>
      </c>
    </row>
    <row r="63" spans="1:13" x14ac:dyDescent="0.3">
      <c r="A63" s="113" t="s">
        <v>182</v>
      </c>
      <c r="B63" s="140" t="s">
        <v>79</v>
      </c>
      <c r="C63" s="141"/>
      <c r="D63" s="141"/>
      <c r="E63" s="141"/>
      <c r="F63" s="141"/>
      <c r="G63" s="141"/>
      <c r="H63" s="141"/>
      <c r="I63" s="141"/>
      <c r="J63" s="141"/>
      <c r="K63" s="141"/>
      <c r="L63" s="141"/>
      <c r="M63" s="142"/>
    </row>
    <row r="64" spans="1:13" ht="18.600000000000001" x14ac:dyDescent="0.3">
      <c r="A64" s="106" t="s">
        <v>257</v>
      </c>
      <c r="B64" s="145" t="s">
        <v>80</v>
      </c>
      <c r="C64" s="145"/>
      <c r="D64" s="106"/>
      <c r="E64" s="106"/>
      <c r="F64" s="106"/>
      <c r="G64" s="106"/>
      <c r="H64" s="106"/>
      <c r="I64" s="106"/>
      <c r="J64" s="106"/>
      <c r="K64" s="106" t="s">
        <v>320</v>
      </c>
      <c r="L64" s="106">
        <f>0.15*0.03*741+0.08*0.08*163</f>
        <v>4.3776999999999999</v>
      </c>
      <c r="M64" s="106">
        <f>L64</f>
        <v>4.3776999999999999</v>
      </c>
    </row>
    <row r="65" spans="1:13" ht="18.600000000000001" x14ac:dyDescent="0.3">
      <c r="A65" s="106" t="s">
        <v>258</v>
      </c>
      <c r="B65" s="145" t="s">
        <v>81</v>
      </c>
      <c r="C65" s="145"/>
      <c r="D65" s="106"/>
      <c r="E65" s="106"/>
      <c r="F65" s="106"/>
      <c r="G65" s="106"/>
      <c r="H65" s="106"/>
      <c r="I65" s="106"/>
      <c r="J65" s="106"/>
      <c r="K65" s="106" t="s">
        <v>315</v>
      </c>
      <c r="L65" s="106">
        <v>286</v>
      </c>
      <c r="M65" s="106">
        <f>L65</f>
        <v>286</v>
      </c>
    </row>
    <row r="66" spans="1:13" x14ac:dyDescent="0.3">
      <c r="A66" s="113" t="s">
        <v>184</v>
      </c>
      <c r="B66" s="140" t="s">
        <v>185</v>
      </c>
      <c r="C66" s="141"/>
      <c r="D66" s="141"/>
      <c r="E66" s="141"/>
      <c r="F66" s="141"/>
      <c r="G66" s="141"/>
      <c r="H66" s="141"/>
      <c r="I66" s="141"/>
      <c r="J66" s="141"/>
      <c r="K66" s="141"/>
      <c r="L66" s="141"/>
      <c r="M66" s="142"/>
    </row>
    <row r="67" spans="1:13" x14ac:dyDescent="0.3">
      <c r="A67" s="117" t="s">
        <v>259</v>
      </c>
      <c r="B67" s="144" t="s">
        <v>56</v>
      </c>
      <c r="C67" s="144"/>
      <c r="D67" s="111"/>
      <c r="E67" s="111"/>
      <c r="F67" s="111"/>
      <c r="G67" s="111"/>
      <c r="H67" s="111"/>
      <c r="I67" s="111"/>
      <c r="J67" s="111"/>
      <c r="K67" s="111"/>
      <c r="L67" s="111"/>
      <c r="M67" s="111"/>
    </row>
    <row r="68" spans="1:13" x14ac:dyDescent="0.3">
      <c r="A68" s="116" t="s">
        <v>261</v>
      </c>
      <c r="B68" s="145" t="s">
        <v>103</v>
      </c>
      <c r="C68" s="145"/>
      <c r="D68" s="106"/>
      <c r="E68" s="106"/>
      <c r="F68" s="106"/>
      <c r="G68" s="106"/>
      <c r="H68" s="106"/>
      <c r="I68" s="106"/>
      <c r="J68" s="106"/>
      <c r="K68" s="106" t="s">
        <v>76</v>
      </c>
      <c r="L68" s="106">
        <v>10</v>
      </c>
      <c r="M68" s="106">
        <f>L68</f>
        <v>10</v>
      </c>
    </row>
    <row r="69" spans="1:13" x14ac:dyDescent="0.3">
      <c r="A69" s="116" t="s">
        <v>262</v>
      </c>
      <c r="B69" s="145" t="s">
        <v>104</v>
      </c>
      <c r="C69" s="145"/>
      <c r="D69" s="106"/>
      <c r="E69" s="106"/>
      <c r="F69" s="106"/>
      <c r="G69" s="106"/>
      <c r="H69" s="106"/>
      <c r="I69" s="106"/>
      <c r="J69" s="106"/>
      <c r="K69" s="106" t="s">
        <v>76</v>
      </c>
      <c r="L69" s="106">
        <v>5</v>
      </c>
      <c r="M69" s="106">
        <f t="shared" ref="M69:M72" si="8">L69</f>
        <v>5</v>
      </c>
    </row>
    <row r="70" spans="1:13" x14ac:dyDescent="0.3">
      <c r="A70" s="115" t="s">
        <v>260</v>
      </c>
      <c r="B70" s="153" t="s">
        <v>165</v>
      </c>
      <c r="C70" s="154"/>
      <c r="D70" s="111"/>
      <c r="E70" s="111"/>
      <c r="F70" s="111"/>
      <c r="G70" s="111"/>
      <c r="H70" s="111"/>
      <c r="I70" s="111"/>
      <c r="J70" s="111"/>
      <c r="K70" s="111"/>
      <c r="L70" s="111"/>
      <c r="M70" s="111"/>
    </row>
    <row r="71" spans="1:13" x14ac:dyDescent="0.3">
      <c r="A71" s="114" t="s">
        <v>263</v>
      </c>
      <c r="B71" s="155" t="s">
        <v>103</v>
      </c>
      <c r="C71" s="156"/>
      <c r="D71" s="106"/>
      <c r="E71" s="106"/>
      <c r="F71" s="106"/>
      <c r="G71" s="106"/>
      <c r="H71" s="106"/>
      <c r="I71" s="106"/>
      <c r="J71" s="106"/>
      <c r="K71" s="106" t="s">
        <v>76</v>
      </c>
      <c r="L71" s="106">
        <v>10</v>
      </c>
      <c r="M71" s="106">
        <f t="shared" si="8"/>
        <v>10</v>
      </c>
    </row>
    <row r="72" spans="1:13" x14ac:dyDescent="0.3">
      <c r="A72" s="114" t="s">
        <v>264</v>
      </c>
      <c r="B72" s="155" t="s">
        <v>104</v>
      </c>
      <c r="C72" s="156"/>
      <c r="D72" s="106"/>
      <c r="E72" s="106"/>
      <c r="F72" s="106"/>
      <c r="G72" s="106"/>
      <c r="H72" s="106"/>
      <c r="I72" s="106"/>
      <c r="J72" s="106"/>
      <c r="K72" s="106" t="s">
        <v>76</v>
      </c>
      <c r="L72" s="106">
        <v>5</v>
      </c>
      <c r="M72" s="106">
        <f t="shared" si="8"/>
        <v>5</v>
      </c>
    </row>
    <row r="73" spans="1:13" ht="16.5" customHeight="1" x14ac:dyDescent="0.3">
      <c r="A73" s="113" t="s">
        <v>187</v>
      </c>
      <c r="B73" s="140" t="s">
        <v>186</v>
      </c>
      <c r="C73" s="141"/>
      <c r="D73" s="141"/>
      <c r="E73" s="141"/>
      <c r="F73" s="141"/>
      <c r="G73" s="141"/>
      <c r="H73" s="141"/>
      <c r="I73" s="141"/>
      <c r="J73" s="141"/>
      <c r="K73" s="141"/>
      <c r="L73" s="141"/>
      <c r="M73" s="142"/>
    </row>
    <row r="74" spans="1:13" x14ac:dyDescent="0.3">
      <c r="A74" s="115" t="s">
        <v>265</v>
      </c>
      <c r="B74" s="144" t="s">
        <v>56</v>
      </c>
      <c r="C74" s="144"/>
      <c r="D74" s="111"/>
      <c r="E74" s="111"/>
      <c r="F74" s="111"/>
      <c r="G74" s="111"/>
      <c r="H74" s="111"/>
      <c r="I74" s="111"/>
      <c r="J74" s="111"/>
      <c r="K74" s="111"/>
      <c r="L74" s="111"/>
      <c r="M74" s="111"/>
    </row>
    <row r="75" spans="1:13" x14ac:dyDescent="0.3">
      <c r="A75" s="114" t="s">
        <v>266</v>
      </c>
      <c r="B75" s="152" t="s">
        <v>100</v>
      </c>
      <c r="C75" s="152"/>
      <c r="D75" s="102"/>
      <c r="E75" s="106"/>
      <c r="F75" s="106"/>
      <c r="G75" s="106"/>
      <c r="H75" s="106"/>
      <c r="I75" s="106"/>
      <c r="J75" s="106"/>
      <c r="K75" s="106" t="s">
        <v>76</v>
      </c>
      <c r="L75" s="106">
        <v>2</v>
      </c>
      <c r="M75" s="106">
        <f>L75</f>
        <v>2</v>
      </c>
    </row>
    <row r="76" spans="1:13" x14ac:dyDescent="0.3">
      <c r="A76" s="114" t="s">
        <v>267</v>
      </c>
      <c r="B76" s="152" t="s">
        <v>101</v>
      </c>
      <c r="C76" s="152"/>
      <c r="D76" s="102"/>
      <c r="E76" s="106"/>
      <c r="F76" s="106"/>
      <c r="G76" s="106"/>
      <c r="H76" s="106"/>
      <c r="I76" s="106"/>
      <c r="J76" s="106"/>
      <c r="K76" s="106" t="s">
        <v>76</v>
      </c>
      <c r="L76" s="106">
        <v>6</v>
      </c>
      <c r="M76" s="106">
        <f t="shared" ref="M76:M81" si="9">L76</f>
        <v>6</v>
      </c>
    </row>
    <row r="77" spans="1:13" x14ac:dyDescent="0.3">
      <c r="A77" s="114" t="s">
        <v>268</v>
      </c>
      <c r="B77" s="152" t="s">
        <v>102</v>
      </c>
      <c r="C77" s="152"/>
      <c r="D77" s="102"/>
      <c r="E77" s="106"/>
      <c r="F77" s="106"/>
      <c r="G77" s="106"/>
      <c r="H77" s="106"/>
      <c r="I77" s="106"/>
      <c r="J77" s="106"/>
      <c r="K77" s="106" t="s">
        <v>76</v>
      </c>
      <c r="L77" s="106">
        <v>5</v>
      </c>
      <c r="M77" s="106">
        <f t="shared" si="9"/>
        <v>5</v>
      </c>
    </row>
    <row r="78" spans="1:13" x14ac:dyDescent="0.3">
      <c r="A78" s="115" t="s">
        <v>269</v>
      </c>
      <c r="B78" s="144" t="s">
        <v>165</v>
      </c>
      <c r="C78" s="144"/>
      <c r="D78" s="111"/>
      <c r="E78" s="111"/>
      <c r="F78" s="111"/>
      <c r="G78" s="111"/>
      <c r="H78" s="111"/>
      <c r="I78" s="111"/>
      <c r="J78" s="111"/>
      <c r="K78" s="111"/>
      <c r="L78" s="111"/>
      <c r="M78" s="111"/>
    </row>
    <row r="79" spans="1:13" x14ac:dyDescent="0.3">
      <c r="A79" s="114" t="s">
        <v>270</v>
      </c>
      <c r="B79" s="152" t="s">
        <v>100</v>
      </c>
      <c r="C79" s="152"/>
      <c r="D79" s="106"/>
      <c r="E79" s="106"/>
      <c r="F79" s="106"/>
      <c r="G79" s="106"/>
      <c r="H79" s="106"/>
      <c r="I79" s="106"/>
      <c r="J79" s="106"/>
      <c r="K79" s="106" t="s">
        <v>76</v>
      </c>
      <c r="L79" s="106">
        <v>2</v>
      </c>
      <c r="M79" s="106">
        <f t="shared" si="9"/>
        <v>2</v>
      </c>
    </row>
    <row r="80" spans="1:13" x14ac:dyDescent="0.3">
      <c r="A80" s="114" t="s">
        <v>271</v>
      </c>
      <c r="B80" s="152" t="s">
        <v>101</v>
      </c>
      <c r="C80" s="152"/>
      <c r="D80" s="106"/>
      <c r="E80" s="106"/>
      <c r="F80" s="106"/>
      <c r="G80" s="106"/>
      <c r="H80" s="106"/>
      <c r="I80" s="106"/>
      <c r="J80" s="106"/>
      <c r="K80" s="106" t="s">
        <v>76</v>
      </c>
      <c r="L80" s="106">
        <v>6</v>
      </c>
      <c r="M80" s="106">
        <f t="shared" si="9"/>
        <v>6</v>
      </c>
    </row>
    <row r="81" spans="1:13" x14ac:dyDescent="0.3">
      <c r="A81" s="114" t="s">
        <v>272</v>
      </c>
      <c r="B81" s="152" t="s">
        <v>102</v>
      </c>
      <c r="C81" s="152"/>
      <c r="D81" s="106"/>
      <c r="E81" s="106"/>
      <c r="F81" s="106"/>
      <c r="G81" s="106"/>
      <c r="H81" s="106"/>
      <c r="I81" s="106"/>
      <c r="J81" s="106"/>
      <c r="K81" s="106" t="s">
        <v>76</v>
      </c>
      <c r="L81" s="106">
        <v>5</v>
      </c>
      <c r="M81" s="106">
        <f t="shared" si="9"/>
        <v>5</v>
      </c>
    </row>
    <row r="82" spans="1:13" x14ac:dyDescent="0.3">
      <c r="A82" s="113" t="s">
        <v>190</v>
      </c>
      <c r="B82" s="140" t="s">
        <v>188</v>
      </c>
      <c r="C82" s="141"/>
      <c r="D82" s="141"/>
      <c r="E82" s="141"/>
      <c r="F82" s="141"/>
      <c r="G82" s="141"/>
      <c r="H82" s="141"/>
      <c r="I82" s="141"/>
      <c r="J82" s="141"/>
      <c r="K82" s="141"/>
      <c r="L82" s="141"/>
      <c r="M82" s="142"/>
    </row>
    <row r="83" spans="1:13" x14ac:dyDescent="0.3">
      <c r="A83" s="117"/>
      <c r="B83" s="153" t="s">
        <v>198</v>
      </c>
      <c r="C83" s="154"/>
      <c r="D83" s="111"/>
      <c r="E83" s="111"/>
      <c r="F83" s="111"/>
      <c r="G83" s="111"/>
      <c r="H83" s="111"/>
      <c r="I83" s="111"/>
      <c r="J83" s="111"/>
      <c r="K83" s="111"/>
      <c r="L83" s="111"/>
      <c r="M83" s="111"/>
    </row>
    <row r="84" spans="1:13" ht="18.600000000000001" x14ac:dyDescent="0.3">
      <c r="A84" s="106" t="s">
        <v>273</v>
      </c>
      <c r="B84" s="145" t="s">
        <v>189</v>
      </c>
      <c r="C84" s="145"/>
      <c r="D84" s="106">
        <v>2</v>
      </c>
      <c r="E84" s="106">
        <v>175.56</v>
      </c>
      <c r="F84" s="106">
        <v>2.8</v>
      </c>
      <c r="G84" s="106">
        <v>1.5E-3</v>
      </c>
      <c r="H84" s="106"/>
      <c r="I84" s="106"/>
      <c r="J84" s="106"/>
      <c r="K84" s="106" t="s">
        <v>320</v>
      </c>
      <c r="L84" s="106">
        <f>E84*F84*G84</f>
        <v>0.73735200000000001</v>
      </c>
      <c r="M84" s="106">
        <f>D84*L84</f>
        <v>1.474704</v>
      </c>
    </row>
    <row r="85" spans="1:13" ht="18.600000000000001" x14ac:dyDescent="0.3">
      <c r="A85" s="106" t="s">
        <v>280</v>
      </c>
      <c r="B85" s="145" t="s">
        <v>194</v>
      </c>
      <c r="C85" s="145"/>
      <c r="D85" s="106">
        <v>2</v>
      </c>
      <c r="E85" s="106"/>
      <c r="F85" s="106"/>
      <c r="G85" s="106"/>
      <c r="H85" s="106"/>
      <c r="I85" s="106"/>
      <c r="J85" s="106"/>
      <c r="K85" s="106" t="s">
        <v>315</v>
      </c>
      <c r="L85" s="106">
        <v>74</v>
      </c>
      <c r="M85" s="106">
        <f>D85*L85</f>
        <v>148</v>
      </c>
    </row>
    <row r="86" spans="1:13" x14ac:dyDescent="0.3">
      <c r="A86" s="113" t="s">
        <v>199</v>
      </c>
      <c r="B86" s="140" t="s">
        <v>191</v>
      </c>
      <c r="C86" s="141"/>
      <c r="D86" s="141"/>
      <c r="E86" s="141"/>
      <c r="F86" s="141"/>
      <c r="G86" s="141"/>
      <c r="H86" s="141"/>
      <c r="I86" s="141"/>
      <c r="J86" s="141"/>
      <c r="K86" s="141"/>
      <c r="L86" s="141"/>
      <c r="M86" s="142"/>
    </row>
    <row r="87" spans="1:13" x14ac:dyDescent="0.3">
      <c r="A87" s="118"/>
      <c r="B87" s="144" t="s">
        <v>198</v>
      </c>
      <c r="C87" s="144"/>
      <c r="D87" s="111"/>
      <c r="E87" s="111"/>
      <c r="F87" s="111"/>
      <c r="G87" s="111"/>
      <c r="H87" s="111"/>
      <c r="I87" s="111"/>
      <c r="J87" s="111"/>
      <c r="K87" s="111"/>
      <c r="L87" s="111"/>
      <c r="M87" s="111"/>
    </row>
    <row r="88" spans="1:13" ht="18.600000000000001" x14ac:dyDescent="0.3">
      <c r="A88" s="106" t="s">
        <v>274</v>
      </c>
      <c r="B88" s="145" t="s">
        <v>192</v>
      </c>
      <c r="C88" s="145"/>
      <c r="D88" s="106">
        <v>2</v>
      </c>
      <c r="E88" s="106">
        <v>18.8</v>
      </c>
      <c r="F88" s="106">
        <v>15.45</v>
      </c>
      <c r="G88" s="106"/>
      <c r="H88" s="106"/>
      <c r="I88" s="106"/>
      <c r="J88" s="106"/>
      <c r="K88" s="106" t="s">
        <v>315</v>
      </c>
      <c r="L88" s="106">
        <f>E88*F88</f>
        <v>290.45999999999998</v>
      </c>
      <c r="M88" s="106">
        <f>D88*L88</f>
        <v>580.91999999999996</v>
      </c>
    </row>
    <row r="89" spans="1:13" ht="18.600000000000001" x14ac:dyDescent="0.3">
      <c r="A89" s="106" t="s">
        <v>281</v>
      </c>
      <c r="B89" s="145" t="s">
        <v>195</v>
      </c>
      <c r="C89" s="145"/>
      <c r="D89" s="106">
        <v>2</v>
      </c>
      <c r="E89" s="106">
        <v>18.8</v>
      </c>
      <c r="F89" s="106">
        <v>15.45</v>
      </c>
      <c r="G89" s="106"/>
      <c r="H89" s="106"/>
      <c r="I89" s="106"/>
      <c r="J89" s="106"/>
      <c r="K89" s="106" t="s">
        <v>315</v>
      </c>
      <c r="L89" s="106">
        <f>E89*F89</f>
        <v>290.45999999999998</v>
      </c>
      <c r="M89" s="106">
        <f t="shared" ref="M89:M90" si="10">D89*L89</f>
        <v>580.91999999999996</v>
      </c>
    </row>
    <row r="90" spans="1:13" ht="18.600000000000001" x14ac:dyDescent="0.3">
      <c r="A90" s="106" t="s">
        <v>282</v>
      </c>
      <c r="B90" s="145" t="s">
        <v>193</v>
      </c>
      <c r="C90" s="145"/>
      <c r="D90" s="106">
        <v>2</v>
      </c>
      <c r="E90" s="106">
        <v>175.56</v>
      </c>
      <c r="F90" s="106"/>
      <c r="G90" s="106">
        <v>0.1</v>
      </c>
      <c r="H90" s="106"/>
      <c r="I90" s="106"/>
      <c r="J90" s="106"/>
      <c r="K90" s="106" t="s">
        <v>315</v>
      </c>
      <c r="L90" s="106">
        <f>E90*G90</f>
        <v>17.556000000000001</v>
      </c>
      <c r="M90" s="106">
        <f t="shared" si="10"/>
        <v>35.112000000000002</v>
      </c>
    </row>
    <row r="91" spans="1:13" x14ac:dyDescent="0.3">
      <c r="A91" s="113" t="s">
        <v>200</v>
      </c>
      <c r="B91" s="140" t="s">
        <v>196</v>
      </c>
      <c r="C91" s="141"/>
      <c r="D91" s="141"/>
      <c r="E91" s="141"/>
      <c r="F91" s="141"/>
      <c r="G91" s="141"/>
      <c r="H91" s="141"/>
      <c r="I91" s="141"/>
      <c r="J91" s="141"/>
      <c r="K91" s="141"/>
      <c r="L91" s="141"/>
      <c r="M91" s="142"/>
    </row>
    <row r="92" spans="1:13" x14ac:dyDescent="0.3">
      <c r="A92" s="118"/>
      <c r="B92" s="144" t="s">
        <v>198</v>
      </c>
      <c r="C92" s="144"/>
      <c r="D92" s="111"/>
      <c r="E92" s="111"/>
      <c r="F92" s="111"/>
      <c r="G92" s="111"/>
      <c r="H92" s="111"/>
      <c r="I92" s="111"/>
      <c r="J92" s="111"/>
      <c r="K92" s="111"/>
      <c r="L92" s="111"/>
      <c r="M92" s="111"/>
    </row>
    <row r="93" spans="1:13" x14ac:dyDescent="0.3">
      <c r="A93" s="106" t="s">
        <v>275</v>
      </c>
      <c r="B93" s="145" t="s">
        <v>348</v>
      </c>
      <c r="C93" s="145"/>
      <c r="D93" s="106">
        <v>2</v>
      </c>
      <c r="E93" s="106"/>
      <c r="F93" s="106"/>
      <c r="G93" s="106"/>
      <c r="H93" s="106"/>
      <c r="I93" s="106"/>
      <c r="J93" s="106"/>
      <c r="K93" s="106" t="s">
        <v>76</v>
      </c>
      <c r="L93" s="68">
        <v>79</v>
      </c>
      <c r="M93" s="125">
        <f t="shared" ref="M93:M94" si="11">D93*L93</f>
        <v>158</v>
      </c>
    </row>
    <row r="94" spans="1:13" ht="18.600000000000001" x14ac:dyDescent="0.25">
      <c r="A94" s="106" t="s">
        <v>283</v>
      </c>
      <c r="B94" s="145" t="s">
        <v>197</v>
      </c>
      <c r="C94" s="145"/>
      <c r="D94" s="106">
        <v>2</v>
      </c>
      <c r="E94" s="106"/>
      <c r="F94" s="106"/>
      <c r="G94" s="106"/>
      <c r="H94" s="106"/>
      <c r="I94" s="106"/>
      <c r="J94" s="106"/>
      <c r="K94" s="106" t="s">
        <v>315</v>
      </c>
      <c r="L94" s="45">
        <f>0.05*0.08*991</f>
        <v>3.964</v>
      </c>
      <c r="M94" s="125">
        <f t="shared" si="11"/>
        <v>7.9279999999999999</v>
      </c>
    </row>
    <row r="95" spans="1:13" x14ac:dyDescent="0.3">
      <c r="A95" s="113" t="s">
        <v>201</v>
      </c>
      <c r="B95" s="140" t="s">
        <v>107</v>
      </c>
      <c r="C95" s="141"/>
      <c r="D95" s="141"/>
      <c r="E95" s="141"/>
      <c r="F95" s="141"/>
      <c r="G95" s="141"/>
      <c r="H95" s="141"/>
      <c r="I95" s="141"/>
      <c r="J95" s="141"/>
      <c r="K95" s="141"/>
      <c r="L95" s="141"/>
      <c r="M95" s="142"/>
    </row>
    <row r="96" spans="1:13" x14ac:dyDescent="0.3">
      <c r="A96" s="118"/>
      <c r="B96" s="144" t="s">
        <v>198</v>
      </c>
      <c r="C96" s="144"/>
      <c r="D96" s="111"/>
      <c r="E96" s="111"/>
      <c r="F96" s="111"/>
      <c r="G96" s="111"/>
      <c r="H96" s="111"/>
      <c r="I96" s="111"/>
      <c r="J96" s="111"/>
      <c r="K96" s="111"/>
      <c r="L96" s="111"/>
      <c r="M96" s="111"/>
    </row>
    <row r="97" spans="1:13" ht="18.600000000000001" x14ac:dyDescent="0.3">
      <c r="A97" s="106" t="s">
        <v>276</v>
      </c>
      <c r="B97" s="157" t="s">
        <v>323</v>
      </c>
      <c r="C97" s="157"/>
      <c r="D97" s="79">
        <v>2</v>
      </c>
      <c r="E97" s="106">
        <v>175.56</v>
      </c>
      <c r="F97" s="106"/>
      <c r="G97" s="106">
        <v>2.8</v>
      </c>
      <c r="H97" s="106"/>
      <c r="I97" s="106"/>
      <c r="J97" s="106"/>
      <c r="K97" s="106" t="s">
        <v>315</v>
      </c>
      <c r="L97" s="79">
        <f>E97*G97</f>
        <v>491.56799999999998</v>
      </c>
      <c r="M97" s="106">
        <f>D97*L97</f>
        <v>983.13599999999997</v>
      </c>
    </row>
    <row r="98" spans="1:13" ht="18.600000000000001" x14ac:dyDescent="0.3">
      <c r="A98" s="106" t="s">
        <v>284</v>
      </c>
      <c r="B98" s="157" t="s">
        <v>111</v>
      </c>
      <c r="C98" s="157"/>
      <c r="D98" s="79">
        <v>2</v>
      </c>
      <c r="E98" s="106"/>
      <c r="F98" s="106"/>
      <c r="G98" s="106"/>
      <c r="H98" s="106"/>
      <c r="I98" s="106"/>
      <c r="J98" s="106"/>
      <c r="K98" s="106" t="s">
        <v>315</v>
      </c>
      <c r="L98" s="79">
        <v>65</v>
      </c>
      <c r="M98" s="106">
        <f t="shared" ref="M98:M100" si="12">D98*L98</f>
        <v>130</v>
      </c>
    </row>
    <row r="99" spans="1:13" ht="18.600000000000001" x14ac:dyDescent="0.3">
      <c r="A99" s="106" t="s">
        <v>285</v>
      </c>
      <c r="B99" s="157" t="s">
        <v>112</v>
      </c>
      <c r="C99" s="157"/>
      <c r="D99" s="79">
        <v>2</v>
      </c>
      <c r="E99" s="106">
        <v>175.56</v>
      </c>
      <c r="F99" s="106"/>
      <c r="G99" s="106">
        <v>2.8</v>
      </c>
      <c r="H99" s="106"/>
      <c r="I99" s="106"/>
      <c r="J99" s="106"/>
      <c r="K99" s="106" t="s">
        <v>315</v>
      </c>
      <c r="L99" s="79">
        <f>E99*G99</f>
        <v>491.56799999999998</v>
      </c>
      <c r="M99" s="106">
        <f t="shared" si="12"/>
        <v>983.13599999999997</v>
      </c>
    </row>
    <row r="100" spans="1:13" ht="18.600000000000001" x14ac:dyDescent="0.3">
      <c r="A100" s="106" t="s">
        <v>286</v>
      </c>
      <c r="B100" s="157" t="s">
        <v>113</v>
      </c>
      <c r="C100" s="157"/>
      <c r="D100" s="79">
        <v>2</v>
      </c>
      <c r="E100" s="106">
        <v>18.8</v>
      </c>
      <c r="F100" s="106">
        <v>15.45</v>
      </c>
      <c r="G100" s="106"/>
      <c r="H100" s="106"/>
      <c r="I100" s="106"/>
      <c r="J100" s="106"/>
      <c r="K100" s="106" t="s">
        <v>315</v>
      </c>
      <c r="L100" s="79">
        <f>E100*F100</f>
        <v>290.45999999999998</v>
      </c>
      <c r="M100" s="106">
        <f t="shared" si="12"/>
        <v>580.91999999999996</v>
      </c>
    </row>
    <row r="101" spans="1:13" x14ac:dyDescent="0.3">
      <c r="A101" s="113" t="s">
        <v>202</v>
      </c>
      <c r="B101" s="140" t="s">
        <v>116</v>
      </c>
      <c r="C101" s="141"/>
      <c r="D101" s="141"/>
      <c r="E101" s="141"/>
      <c r="F101" s="141"/>
      <c r="G101" s="141"/>
      <c r="H101" s="141"/>
      <c r="I101" s="141"/>
      <c r="J101" s="141"/>
      <c r="K101" s="141"/>
      <c r="L101" s="141"/>
      <c r="M101" s="142"/>
    </row>
    <row r="102" spans="1:13" x14ac:dyDescent="0.3">
      <c r="A102" s="118"/>
      <c r="B102" s="144" t="s">
        <v>198</v>
      </c>
      <c r="C102" s="144"/>
      <c r="D102" s="111"/>
      <c r="E102" s="111"/>
      <c r="F102" s="111"/>
      <c r="G102" s="111"/>
      <c r="H102" s="111"/>
      <c r="I102" s="111"/>
      <c r="J102" s="111"/>
      <c r="K102" s="111"/>
      <c r="L102" s="111"/>
      <c r="M102" s="111"/>
    </row>
    <row r="103" spans="1:13" x14ac:dyDescent="0.3">
      <c r="A103" s="106" t="s">
        <v>277</v>
      </c>
      <c r="B103" s="157" t="s">
        <v>117</v>
      </c>
      <c r="C103" s="157"/>
      <c r="D103" s="79">
        <v>2</v>
      </c>
      <c r="E103" s="106"/>
      <c r="F103" s="106"/>
      <c r="G103" s="106"/>
      <c r="H103" s="106"/>
      <c r="I103" s="106"/>
      <c r="J103" s="106"/>
      <c r="K103" s="106" t="s">
        <v>76</v>
      </c>
      <c r="L103" s="106">
        <v>2</v>
      </c>
      <c r="M103" s="106">
        <f>D103*L103</f>
        <v>4</v>
      </c>
    </row>
    <row r="104" spans="1:13" x14ac:dyDescent="0.3">
      <c r="A104" s="106" t="s">
        <v>287</v>
      </c>
      <c r="B104" s="157" t="s">
        <v>118</v>
      </c>
      <c r="C104" s="157"/>
      <c r="D104" s="79">
        <v>2</v>
      </c>
      <c r="E104" s="106"/>
      <c r="F104" s="106"/>
      <c r="G104" s="106"/>
      <c r="H104" s="106"/>
      <c r="I104" s="106"/>
      <c r="J104" s="106"/>
      <c r="K104" s="106" t="s">
        <v>76</v>
      </c>
      <c r="L104" s="106">
        <v>1</v>
      </c>
      <c r="M104" s="106">
        <f>D104*L104</f>
        <v>2</v>
      </c>
    </row>
    <row r="105" spans="1:13" x14ac:dyDescent="0.3">
      <c r="A105" s="113" t="s">
        <v>203</v>
      </c>
      <c r="B105" s="140" t="s">
        <v>121</v>
      </c>
      <c r="C105" s="141"/>
      <c r="D105" s="141"/>
      <c r="E105" s="141"/>
      <c r="F105" s="141"/>
      <c r="G105" s="141"/>
      <c r="H105" s="141"/>
      <c r="I105" s="141"/>
      <c r="J105" s="141"/>
      <c r="K105" s="141"/>
      <c r="L105" s="141"/>
      <c r="M105" s="142"/>
    </row>
    <row r="106" spans="1:13" x14ac:dyDescent="0.3">
      <c r="A106" s="118"/>
      <c r="B106" s="144" t="s">
        <v>198</v>
      </c>
      <c r="C106" s="144"/>
      <c r="D106" s="111"/>
      <c r="E106" s="111"/>
      <c r="F106" s="111"/>
      <c r="G106" s="111"/>
      <c r="H106" s="111"/>
      <c r="I106" s="111"/>
      <c r="J106" s="111"/>
      <c r="K106" s="111"/>
      <c r="L106" s="111"/>
      <c r="M106" s="111"/>
    </row>
    <row r="107" spans="1:13" x14ac:dyDescent="0.3">
      <c r="A107" s="106" t="s">
        <v>278</v>
      </c>
      <c r="B107" s="158" t="s">
        <v>122</v>
      </c>
      <c r="C107" s="158"/>
      <c r="D107" s="106"/>
      <c r="E107" s="106"/>
      <c r="F107" s="106"/>
      <c r="G107" s="106"/>
      <c r="H107" s="106"/>
      <c r="I107" s="106"/>
      <c r="J107" s="106"/>
      <c r="K107" s="106"/>
      <c r="L107" s="106"/>
      <c r="M107" s="106"/>
    </row>
    <row r="108" spans="1:13" x14ac:dyDescent="0.3">
      <c r="A108" s="106"/>
      <c r="B108" s="158"/>
      <c r="C108" s="158"/>
      <c r="D108" s="106"/>
      <c r="E108" s="106"/>
      <c r="F108" s="106"/>
      <c r="G108" s="106"/>
      <c r="H108" s="106"/>
      <c r="I108" s="106"/>
      <c r="J108" s="106"/>
      <c r="K108" s="106"/>
      <c r="L108" s="106"/>
      <c r="M108" s="106"/>
    </row>
    <row r="109" spans="1:13" x14ac:dyDescent="0.3">
      <c r="A109" s="106"/>
      <c r="B109" s="158"/>
      <c r="C109" s="158"/>
      <c r="D109" s="106"/>
      <c r="E109" s="106"/>
      <c r="F109" s="106"/>
      <c r="G109" s="106"/>
      <c r="H109" s="106"/>
      <c r="I109" s="106"/>
      <c r="J109" s="106"/>
      <c r="K109" s="106"/>
      <c r="L109" s="106"/>
      <c r="M109" s="106"/>
    </row>
    <row r="110" spans="1:13" x14ac:dyDescent="0.3">
      <c r="A110" s="113" t="s">
        <v>204</v>
      </c>
      <c r="B110" s="140" t="s">
        <v>324</v>
      </c>
      <c r="C110" s="141"/>
      <c r="D110" s="141"/>
      <c r="E110" s="141"/>
      <c r="F110" s="141"/>
      <c r="G110" s="141"/>
      <c r="H110" s="141"/>
      <c r="I110" s="141"/>
      <c r="J110" s="141"/>
      <c r="K110" s="141"/>
      <c r="L110" s="141"/>
      <c r="M110" s="142"/>
    </row>
    <row r="111" spans="1:13" x14ac:dyDescent="0.3">
      <c r="A111" s="118"/>
      <c r="B111" s="144" t="s">
        <v>198</v>
      </c>
      <c r="C111" s="144"/>
      <c r="D111" s="111"/>
      <c r="E111" s="111"/>
      <c r="F111" s="111"/>
      <c r="G111" s="111"/>
      <c r="H111" s="111"/>
      <c r="I111" s="111"/>
      <c r="J111" s="111"/>
      <c r="K111" s="111"/>
      <c r="L111" s="111"/>
      <c r="M111" s="111"/>
    </row>
    <row r="112" spans="1:13" x14ac:dyDescent="0.3">
      <c r="A112" s="119" t="s">
        <v>279</v>
      </c>
      <c r="B112" s="160" t="s">
        <v>128</v>
      </c>
      <c r="C112" s="160"/>
      <c r="D112" s="107">
        <v>2</v>
      </c>
      <c r="E112" s="94"/>
      <c r="F112" s="106"/>
      <c r="G112" s="106"/>
      <c r="H112" s="106"/>
      <c r="I112" s="106"/>
      <c r="J112" s="106"/>
      <c r="K112" s="79" t="s">
        <v>76</v>
      </c>
      <c r="L112" s="94">
        <v>3</v>
      </c>
      <c r="M112" s="106">
        <f>D112*L112</f>
        <v>6</v>
      </c>
    </row>
    <row r="113" spans="1:13" x14ac:dyDescent="0.3">
      <c r="A113" s="119" t="s">
        <v>288</v>
      </c>
      <c r="B113" s="160" t="s">
        <v>129</v>
      </c>
      <c r="C113" s="160"/>
      <c r="D113" s="107">
        <v>2</v>
      </c>
      <c r="E113" s="94"/>
      <c r="F113" s="106"/>
      <c r="G113" s="106"/>
      <c r="H113" s="106"/>
      <c r="I113" s="106"/>
      <c r="J113" s="106"/>
      <c r="K113" s="79" t="s">
        <v>76</v>
      </c>
      <c r="L113" s="94">
        <v>7</v>
      </c>
      <c r="M113" s="106">
        <f t="shared" ref="M113:M136" si="13">D113*L113</f>
        <v>14</v>
      </c>
    </row>
    <row r="114" spans="1:13" x14ac:dyDescent="0.3">
      <c r="A114" s="119" t="s">
        <v>289</v>
      </c>
      <c r="B114" s="160" t="s">
        <v>130</v>
      </c>
      <c r="C114" s="160"/>
      <c r="D114" s="107">
        <v>2</v>
      </c>
      <c r="E114" s="94"/>
      <c r="F114" s="106"/>
      <c r="G114" s="106"/>
      <c r="H114" s="106"/>
      <c r="I114" s="106"/>
      <c r="J114" s="106"/>
      <c r="K114" s="79" t="s">
        <v>76</v>
      </c>
      <c r="L114" s="94">
        <v>6</v>
      </c>
      <c r="M114" s="106">
        <f t="shared" si="13"/>
        <v>12</v>
      </c>
    </row>
    <row r="115" spans="1:13" x14ac:dyDescent="0.3">
      <c r="A115" s="119" t="s">
        <v>290</v>
      </c>
      <c r="B115" s="160" t="s">
        <v>131</v>
      </c>
      <c r="C115" s="160"/>
      <c r="D115" s="107">
        <v>2</v>
      </c>
      <c r="E115" s="94"/>
      <c r="F115" s="106"/>
      <c r="G115" s="106"/>
      <c r="H115" s="106"/>
      <c r="I115" s="106"/>
      <c r="J115" s="106"/>
      <c r="K115" s="79" t="s">
        <v>76</v>
      </c>
      <c r="L115" s="94">
        <v>6</v>
      </c>
      <c r="M115" s="106">
        <f t="shared" si="13"/>
        <v>12</v>
      </c>
    </row>
    <row r="116" spans="1:13" x14ac:dyDescent="0.3">
      <c r="A116" s="119" t="s">
        <v>291</v>
      </c>
      <c r="B116" s="160" t="s">
        <v>132</v>
      </c>
      <c r="C116" s="160"/>
      <c r="D116" s="107">
        <v>2</v>
      </c>
      <c r="E116" s="94"/>
      <c r="F116" s="106"/>
      <c r="G116" s="106"/>
      <c r="H116" s="106"/>
      <c r="I116" s="106"/>
      <c r="J116" s="106"/>
      <c r="K116" s="79" t="s">
        <v>76</v>
      </c>
      <c r="L116" s="94">
        <v>8</v>
      </c>
      <c r="M116" s="106">
        <f t="shared" si="13"/>
        <v>16</v>
      </c>
    </row>
    <row r="117" spans="1:13" x14ac:dyDescent="0.3">
      <c r="A117" s="119" t="s">
        <v>292</v>
      </c>
      <c r="B117" s="159" t="s">
        <v>133</v>
      </c>
      <c r="C117" s="159"/>
      <c r="D117" s="108">
        <v>1</v>
      </c>
      <c r="E117" s="94"/>
      <c r="F117" s="106"/>
      <c r="G117" s="106"/>
      <c r="H117" s="106"/>
      <c r="I117" s="106"/>
      <c r="J117" s="106"/>
      <c r="K117" s="79" t="s">
        <v>76</v>
      </c>
      <c r="L117" s="94">
        <v>6</v>
      </c>
      <c r="M117" s="106">
        <f t="shared" si="13"/>
        <v>6</v>
      </c>
    </row>
    <row r="118" spans="1:13" ht="18.600000000000001" x14ac:dyDescent="0.3">
      <c r="A118" s="119" t="s">
        <v>293</v>
      </c>
      <c r="B118" s="160" t="s">
        <v>134</v>
      </c>
      <c r="C118" s="160"/>
      <c r="D118" s="107">
        <v>1</v>
      </c>
      <c r="E118" s="94"/>
      <c r="F118" s="106"/>
      <c r="G118" s="106"/>
      <c r="H118" s="106"/>
      <c r="I118" s="106"/>
      <c r="J118" s="106"/>
      <c r="K118" s="106" t="s">
        <v>320</v>
      </c>
      <c r="L118" s="94">
        <v>7</v>
      </c>
      <c r="M118" s="106">
        <f t="shared" si="13"/>
        <v>7</v>
      </c>
    </row>
    <row r="119" spans="1:13" ht="18.600000000000001" x14ac:dyDescent="0.3">
      <c r="A119" s="119" t="s">
        <v>294</v>
      </c>
      <c r="B119" s="160" t="s">
        <v>136</v>
      </c>
      <c r="C119" s="160"/>
      <c r="D119" s="107">
        <v>1</v>
      </c>
      <c r="E119" s="94"/>
      <c r="F119" s="106"/>
      <c r="G119" s="106"/>
      <c r="H119" s="106"/>
      <c r="I119" s="106"/>
      <c r="J119" s="106"/>
      <c r="K119" s="106" t="s">
        <v>315</v>
      </c>
      <c r="L119" s="94">
        <v>10</v>
      </c>
      <c r="M119" s="106">
        <f t="shared" si="13"/>
        <v>10</v>
      </c>
    </row>
    <row r="120" spans="1:13" x14ac:dyDescent="0.3">
      <c r="A120" s="119" t="s">
        <v>295</v>
      </c>
      <c r="B120" s="160" t="s">
        <v>137</v>
      </c>
      <c r="C120" s="160"/>
      <c r="D120" s="107">
        <v>1</v>
      </c>
      <c r="E120" s="94"/>
      <c r="F120" s="106"/>
      <c r="G120" s="106"/>
      <c r="H120" s="106"/>
      <c r="I120" s="106"/>
      <c r="J120" s="106"/>
      <c r="K120" s="79" t="s">
        <v>76</v>
      </c>
      <c r="L120" s="94">
        <v>133</v>
      </c>
      <c r="M120" s="106">
        <f t="shared" si="13"/>
        <v>133</v>
      </c>
    </row>
    <row r="121" spans="1:13" x14ac:dyDescent="0.3">
      <c r="A121" s="119" t="s">
        <v>296</v>
      </c>
      <c r="B121" s="160" t="s">
        <v>138</v>
      </c>
      <c r="C121" s="160"/>
      <c r="D121" s="107">
        <v>1</v>
      </c>
      <c r="E121" s="94"/>
      <c r="F121" s="106"/>
      <c r="G121" s="106"/>
      <c r="H121" s="106"/>
      <c r="I121" s="106"/>
      <c r="J121" s="106"/>
      <c r="K121" s="79" t="s">
        <v>139</v>
      </c>
      <c r="L121" s="94">
        <v>7</v>
      </c>
      <c r="M121" s="106">
        <f t="shared" si="13"/>
        <v>7</v>
      </c>
    </row>
    <row r="122" spans="1:13" x14ac:dyDescent="0.3">
      <c r="A122" s="119" t="s">
        <v>297</v>
      </c>
      <c r="B122" s="160" t="s">
        <v>140</v>
      </c>
      <c r="C122" s="160"/>
      <c r="D122" s="107">
        <v>1</v>
      </c>
      <c r="E122" s="94"/>
      <c r="F122" s="106"/>
      <c r="G122" s="106"/>
      <c r="H122" s="106"/>
      <c r="I122" s="106"/>
      <c r="J122" s="106"/>
      <c r="K122" s="79" t="s">
        <v>76</v>
      </c>
      <c r="L122" s="94">
        <v>75</v>
      </c>
      <c r="M122" s="106">
        <f t="shared" si="13"/>
        <v>75</v>
      </c>
    </row>
    <row r="123" spans="1:13" x14ac:dyDescent="0.3">
      <c r="A123" s="119" t="s">
        <v>298</v>
      </c>
      <c r="B123" s="159" t="s">
        <v>141</v>
      </c>
      <c r="C123" s="159"/>
      <c r="D123" s="108"/>
      <c r="E123" s="94"/>
      <c r="F123" s="106"/>
      <c r="G123" s="106"/>
      <c r="H123" s="106"/>
      <c r="I123" s="106"/>
      <c r="J123" s="106"/>
      <c r="K123" s="79" t="s">
        <v>342</v>
      </c>
      <c r="L123" s="94"/>
      <c r="M123" s="106"/>
    </row>
    <row r="124" spans="1:13" x14ac:dyDescent="0.3">
      <c r="A124" s="119" t="s">
        <v>299</v>
      </c>
      <c r="B124" s="160" t="s">
        <v>140</v>
      </c>
      <c r="C124" s="160"/>
      <c r="D124" s="107">
        <v>1</v>
      </c>
      <c r="E124" s="94"/>
      <c r="F124" s="106"/>
      <c r="G124" s="106"/>
      <c r="H124" s="106"/>
      <c r="I124" s="106"/>
      <c r="J124" s="106"/>
      <c r="K124" s="79" t="s">
        <v>76</v>
      </c>
      <c r="L124" s="94">
        <v>3</v>
      </c>
      <c r="M124" s="106">
        <f t="shared" si="13"/>
        <v>3</v>
      </c>
    </row>
    <row r="125" spans="1:13" x14ac:dyDescent="0.3">
      <c r="A125" s="119" t="s">
        <v>300</v>
      </c>
      <c r="B125" s="160" t="s">
        <v>143</v>
      </c>
      <c r="C125" s="160"/>
      <c r="D125" s="107">
        <v>1</v>
      </c>
      <c r="E125" s="94"/>
      <c r="F125" s="106"/>
      <c r="G125" s="106"/>
      <c r="H125" s="106"/>
      <c r="I125" s="106"/>
      <c r="J125" s="106"/>
      <c r="K125" s="79" t="s">
        <v>139</v>
      </c>
      <c r="L125" s="94">
        <v>0</v>
      </c>
      <c r="M125" s="106">
        <f t="shared" si="13"/>
        <v>0</v>
      </c>
    </row>
    <row r="126" spans="1:13" x14ac:dyDescent="0.3">
      <c r="A126" s="119" t="s">
        <v>301</v>
      </c>
      <c r="B126" s="160" t="s">
        <v>144</v>
      </c>
      <c r="C126" s="160"/>
      <c r="D126" s="107">
        <v>1</v>
      </c>
      <c r="E126" s="94"/>
      <c r="F126" s="106"/>
      <c r="G126" s="106"/>
      <c r="H126" s="106"/>
      <c r="I126" s="106"/>
      <c r="J126" s="106"/>
      <c r="K126" s="79" t="s">
        <v>87</v>
      </c>
      <c r="L126" s="94">
        <v>28</v>
      </c>
      <c r="M126" s="106">
        <f t="shared" si="13"/>
        <v>28</v>
      </c>
    </row>
    <row r="127" spans="1:13" x14ac:dyDescent="0.3">
      <c r="A127" s="119" t="s">
        <v>302</v>
      </c>
      <c r="B127" s="160" t="s">
        <v>138</v>
      </c>
      <c r="C127" s="160"/>
      <c r="D127" s="107">
        <v>1</v>
      </c>
      <c r="E127" s="94"/>
      <c r="F127" s="106"/>
      <c r="G127" s="106"/>
      <c r="H127" s="106"/>
      <c r="I127" s="106"/>
      <c r="J127" s="106"/>
      <c r="K127" s="79" t="s">
        <v>139</v>
      </c>
      <c r="L127" s="94">
        <v>0</v>
      </c>
      <c r="M127" s="106">
        <f t="shared" si="13"/>
        <v>0</v>
      </c>
    </row>
    <row r="128" spans="1:13" ht="18.600000000000001" x14ac:dyDescent="0.3">
      <c r="A128" s="119" t="s">
        <v>303</v>
      </c>
      <c r="B128" s="160" t="s">
        <v>145</v>
      </c>
      <c r="C128" s="160"/>
      <c r="D128" s="107">
        <v>1</v>
      </c>
      <c r="E128" s="94"/>
      <c r="F128" s="106"/>
      <c r="G128" s="106"/>
      <c r="H128" s="106"/>
      <c r="I128" s="106"/>
      <c r="J128" s="106"/>
      <c r="K128" s="106" t="s">
        <v>315</v>
      </c>
      <c r="L128" s="94">
        <v>3</v>
      </c>
      <c r="M128" s="106">
        <f t="shared" si="13"/>
        <v>3</v>
      </c>
    </row>
    <row r="129" spans="1:13" x14ac:dyDescent="0.3">
      <c r="A129" s="119" t="s">
        <v>304</v>
      </c>
      <c r="B129" s="152" t="s">
        <v>146</v>
      </c>
      <c r="C129" s="152"/>
      <c r="D129" s="102">
        <v>1</v>
      </c>
      <c r="E129" s="68"/>
      <c r="F129" s="106"/>
      <c r="G129" s="106"/>
      <c r="H129" s="106"/>
      <c r="I129" s="106"/>
      <c r="J129" s="106"/>
      <c r="K129" s="12" t="s">
        <v>87</v>
      </c>
      <c r="L129" s="68">
        <v>10</v>
      </c>
      <c r="M129" s="106">
        <f t="shared" si="13"/>
        <v>10</v>
      </c>
    </row>
    <row r="130" spans="1:13" x14ac:dyDescent="0.3">
      <c r="A130" s="119" t="s">
        <v>305</v>
      </c>
      <c r="B130" s="152" t="s">
        <v>147</v>
      </c>
      <c r="C130" s="152"/>
      <c r="D130" s="102">
        <v>1</v>
      </c>
      <c r="E130" s="68"/>
      <c r="F130" s="106"/>
      <c r="G130" s="106"/>
      <c r="H130" s="106"/>
      <c r="I130" s="106"/>
      <c r="J130" s="106"/>
      <c r="K130" s="12" t="s">
        <v>76</v>
      </c>
      <c r="L130" s="68">
        <v>2</v>
      </c>
      <c r="M130" s="106">
        <f t="shared" si="13"/>
        <v>2</v>
      </c>
    </row>
    <row r="131" spans="1:13" x14ac:dyDescent="0.3">
      <c r="A131" s="119" t="s">
        <v>306</v>
      </c>
      <c r="B131" s="161" t="s">
        <v>148</v>
      </c>
      <c r="C131" s="161"/>
      <c r="D131" s="103"/>
      <c r="E131" s="68"/>
      <c r="F131" s="106"/>
      <c r="G131" s="106"/>
      <c r="H131" s="106"/>
      <c r="I131" s="106"/>
      <c r="J131" s="106"/>
      <c r="K131" s="12"/>
      <c r="L131" s="68"/>
      <c r="M131" s="106"/>
    </row>
    <row r="132" spans="1:13" x14ac:dyDescent="0.3">
      <c r="A132" s="119" t="s">
        <v>307</v>
      </c>
      <c r="B132" s="152" t="s">
        <v>149</v>
      </c>
      <c r="C132" s="152"/>
      <c r="D132" s="102">
        <v>1</v>
      </c>
      <c r="E132" s="68"/>
      <c r="F132" s="106"/>
      <c r="G132" s="106"/>
      <c r="H132" s="106"/>
      <c r="I132" s="106"/>
      <c r="J132" s="106"/>
      <c r="K132" s="12" t="s">
        <v>76</v>
      </c>
      <c r="L132" s="68">
        <v>5</v>
      </c>
      <c r="M132" s="106">
        <f t="shared" si="13"/>
        <v>5</v>
      </c>
    </row>
    <row r="133" spans="1:13" x14ac:dyDescent="0.3">
      <c r="A133" s="119" t="s">
        <v>308</v>
      </c>
      <c r="B133" s="152" t="s">
        <v>150</v>
      </c>
      <c r="C133" s="152"/>
      <c r="D133" s="102">
        <v>1</v>
      </c>
      <c r="E133" s="68"/>
      <c r="F133" s="106"/>
      <c r="G133" s="106"/>
      <c r="H133" s="106"/>
      <c r="I133" s="106"/>
      <c r="J133" s="106"/>
      <c r="K133" s="12" t="s">
        <v>76</v>
      </c>
      <c r="L133" s="68">
        <v>1</v>
      </c>
      <c r="M133" s="106">
        <f t="shared" si="13"/>
        <v>1</v>
      </c>
    </row>
    <row r="134" spans="1:13" x14ac:dyDescent="0.3">
      <c r="A134" s="119" t="s">
        <v>309</v>
      </c>
      <c r="B134" s="152" t="s">
        <v>151</v>
      </c>
      <c r="C134" s="152"/>
      <c r="D134" s="102">
        <v>1</v>
      </c>
      <c r="E134" s="68"/>
      <c r="F134" s="106"/>
      <c r="G134" s="106"/>
      <c r="H134" s="106"/>
      <c r="I134" s="106"/>
      <c r="J134" s="106"/>
      <c r="K134" s="12" t="s">
        <v>76</v>
      </c>
      <c r="L134" s="68">
        <v>5</v>
      </c>
      <c r="M134" s="106">
        <f t="shared" si="13"/>
        <v>5</v>
      </c>
    </row>
    <row r="135" spans="1:13" x14ac:dyDescent="0.3">
      <c r="A135" s="119" t="s">
        <v>310</v>
      </c>
      <c r="B135" s="161" t="s">
        <v>152</v>
      </c>
      <c r="C135" s="161"/>
      <c r="D135" s="103">
        <v>1</v>
      </c>
      <c r="E135" s="68"/>
      <c r="F135" s="106"/>
      <c r="G135" s="106"/>
      <c r="H135" s="106"/>
      <c r="I135" s="106"/>
      <c r="J135" s="106"/>
      <c r="K135" s="12"/>
      <c r="L135" s="68"/>
      <c r="M135" s="106">
        <f t="shared" si="13"/>
        <v>0</v>
      </c>
    </row>
    <row r="136" spans="1:13" x14ac:dyDescent="0.3">
      <c r="A136" s="119" t="s">
        <v>311</v>
      </c>
      <c r="B136" s="152" t="s">
        <v>153</v>
      </c>
      <c r="C136" s="152"/>
      <c r="D136" s="102">
        <v>2</v>
      </c>
      <c r="E136" s="68"/>
      <c r="F136" s="106"/>
      <c r="G136" s="106"/>
      <c r="H136" s="106"/>
      <c r="I136" s="106"/>
      <c r="J136" s="106"/>
      <c r="K136" s="12" t="s">
        <v>87</v>
      </c>
      <c r="L136" s="68"/>
      <c r="M136" s="106">
        <f t="shared" si="13"/>
        <v>0</v>
      </c>
    </row>
    <row r="137" spans="1:13" x14ac:dyDescent="0.3">
      <c r="B137" s="162"/>
      <c r="C137" s="162"/>
    </row>
    <row r="138" spans="1:13" x14ac:dyDescent="0.3">
      <c r="B138" s="162"/>
      <c r="C138" s="162"/>
    </row>
    <row r="139" spans="1:13" x14ac:dyDescent="0.3">
      <c r="A139" s="137" t="s">
        <v>356</v>
      </c>
      <c r="B139" s="162"/>
      <c r="C139" s="162"/>
    </row>
    <row r="140" spans="1:13" x14ac:dyDescent="0.3">
      <c r="B140" s="162"/>
      <c r="C140" s="162"/>
    </row>
    <row r="141" spans="1:13" x14ac:dyDescent="0.3">
      <c r="B141" s="162"/>
      <c r="C141" s="162"/>
    </row>
    <row r="142" spans="1:13" x14ac:dyDescent="0.3">
      <c r="B142" s="162"/>
      <c r="C142" s="162"/>
    </row>
    <row r="143" spans="1:13" x14ac:dyDescent="0.3">
      <c r="B143" s="162"/>
      <c r="C143" s="162"/>
    </row>
    <row r="144" spans="1:13" x14ac:dyDescent="0.3">
      <c r="B144" s="162"/>
      <c r="C144" s="162"/>
    </row>
    <row r="145" spans="2:3" x14ac:dyDescent="0.3">
      <c r="B145" s="162"/>
      <c r="C145" s="162"/>
    </row>
    <row r="146" spans="2:3" x14ac:dyDescent="0.3">
      <c r="B146" s="162"/>
      <c r="C146" s="162"/>
    </row>
    <row r="147" spans="2:3" x14ac:dyDescent="0.3">
      <c r="B147" s="162"/>
      <c r="C147" s="162"/>
    </row>
    <row r="148" spans="2:3" x14ac:dyDescent="0.3">
      <c r="B148" s="162"/>
      <c r="C148" s="162"/>
    </row>
    <row r="149" spans="2:3" x14ac:dyDescent="0.3">
      <c r="B149" s="162"/>
      <c r="C149" s="162"/>
    </row>
    <row r="150" spans="2:3" x14ac:dyDescent="0.3">
      <c r="B150" s="162"/>
      <c r="C150" s="162"/>
    </row>
    <row r="151" spans="2:3" x14ac:dyDescent="0.3">
      <c r="B151" s="162"/>
      <c r="C151" s="162"/>
    </row>
    <row r="152" spans="2:3" x14ac:dyDescent="0.3">
      <c r="B152" s="162"/>
      <c r="C152" s="162"/>
    </row>
    <row r="153" spans="2:3" x14ac:dyDescent="0.3">
      <c r="B153" s="162"/>
      <c r="C153" s="162"/>
    </row>
    <row r="154" spans="2:3" x14ac:dyDescent="0.3">
      <c r="B154" s="162"/>
      <c r="C154" s="162"/>
    </row>
    <row r="155" spans="2:3" x14ac:dyDescent="0.3">
      <c r="B155" s="162"/>
      <c r="C155" s="162"/>
    </row>
    <row r="156" spans="2:3" x14ac:dyDescent="0.3">
      <c r="B156" s="162"/>
      <c r="C156" s="162"/>
    </row>
    <row r="157" spans="2:3" x14ac:dyDescent="0.3">
      <c r="B157" s="162"/>
      <c r="C157" s="162"/>
    </row>
    <row r="158" spans="2:3" x14ac:dyDescent="0.3">
      <c r="B158" s="162"/>
      <c r="C158" s="162"/>
    </row>
    <row r="159" spans="2:3" x14ac:dyDescent="0.3">
      <c r="B159" s="162"/>
      <c r="C159" s="162"/>
    </row>
    <row r="160" spans="2:3" x14ac:dyDescent="0.3">
      <c r="B160" s="162"/>
      <c r="C160" s="162"/>
    </row>
    <row r="161" spans="2:3" x14ac:dyDescent="0.3">
      <c r="B161" s="162"/>
      <c r="C161" s="162"/>
    </row>
    <row r="162" spans="2:3" x14ac:dyDescent="0.3">
      <c r="B162" s="162"/>
      <c r="C162" s="162"/>
    </row>
    <row r="163" spans="2:3" x14ac:dyDescent="0.3">
      <c r="B163" s="162"/>
      <c r="C163" s="162"/>
    </row>
    <row r="164" spans="2:3" x14ac:dyDescent="0.3">
      <c r="B164" s="162"/>
      <c r="C164" s="162"/>
    </row>
    <row r="165" spans="2:3" x14ac:dyDescent="0.3">
      <c r="B165" s="162"/>
      <c r="C165" s="162"/>
    </row>
    <row r="166" spans="2:3" x14ac:dyDescent="0.3">
      <c r="B166" s="162"/>
      <c r="C166" s="162"/>
    </row>
    <row r="167" spans="2:3" x14ac:dyDescent="0.3">
      <c r="B167" s="162"/>
      <c r="C167" s="162"/>
    </row>
    <row r="168" spans="2:3" x14ac:dyDescent="0.3">
      <c r="B168" s="162"/>
      <c r="C168" s="162"/>
    </row>
    <row r="169" spans="2:3" x14ac:dyDescent="0.3">
      <c r="B169" s="162"/>
      <c r="C169" s="162"/>
    </row>
  </sheetData>
  <mergeCells count="171">
    <mergeCell ref="B82:M82"/>
    <mergeCell ref="B91:M91"/>
    <mergeCell ref="B95:M95"/>
    <mergeCell ref="B86:M86"/>
    <mergeCell ref="B44:C44"/>
    <mergeCell ref="B67:C67"/>
    <mergeCell ref="B63:M63"/>
    <mergeCell ref="B66:M66"/>
    <mergeCell ref="B92:C92"/>
    <mergeCell ref="B88:C88"/>
    <mergeCell ref="B89:C89"/>
    <mergeCell ref="B90:C90"/>
    <mergeCell ref="B87:C87"/>
    <mergeCell ref="B81:C81"/>
    <mergeCell ref="B84:C84"/>
    <mergeCell ref="B85:C85"/>
    <mergeCell ref="B83:C83"/>
    <mergeCell ref="B76:C76"/>
    <mergeCell ref="B77:C77"/>
    <mergeCell ref="B78:C78"/>
    <mergeCell ref="B79:C79"/>
    <mergeCell ref="B80:C80"/>
    <mergeCell ref="B72:C72"/>
    <mergeCell ref="B74:C74"/>
    <mergeCell ref="B167:C167"/>
    <mergeCell ref="B168:C168"/>
    <mergeCell ref="B169:C169"/>
    <mergeCell ref="B7:C7"/>
    <mergeCell ref="B8:C8"/>
    <mergeCell ref="B9:C9"/>
    <mergeCell ref="B10:C10"/>
    <mergeCell ref="B11:C11"/>
    <mergeCell ref="B12:C12"/>
    <mergeCell ref="B16:C16"/>
    <mergeCell ref="B17:C17"/>
    <mergeCell ref="B162:C162"/>
    <mergeCell ref="B163:C163"/>
    <mergeCell ref="B164:C164"/>
    <mergeCell ref="B165:C165"/>
    <mergeCell ref="B166:C166"/>
    <mergeCell ref="B157:C157"/>
    <mergeCell ref="B158:C158"/>
    <mergeCell ref="B159:C159"/>
    <mergeCell ref="B160:C160"/>
    <mergeCell ref="B161:C161"/>
    <mergeCell ref="B152:C152"/>
    <mergeCell ref="B153:C153"/>
    <mergeCell ref="B154:C154"/>
    <mergeCell ref="B155:C155"/>
    <mergeCell ref="B156:C156"/>
    <mergeCell ref="B147:C147"/>
    <mergeCell ref="B148:C148"/>
    <mergeCell ref="B149:C149"/>
    <mergeCell ref="B150:C150"/>
    <mergeCell ref="B151:C151"/>
    <mergeCell ref="B142:C142"/>
    <mergeCell ref="B143:C143"/>
    <mergeCell ref="B144:C144"/>
    <mergeCell ref="B145:C145"/>
    <mergeCell ref="B146:C146"/>
    <mergeCell ref="B137:C137"/>
    <mergeCell ref="B138:C138"/>
    <mergeCell ref="B139:C139"/>
    <mergeCell ref="B140:C140"/>
    <mergeCell ref="B141:C141"/>
    <mergeCell ref="B132:C132"/>
    <mergeCell ref="B133:C133"/>
    <mergeCell ref="B134:C134"/>
    <mergeCell ref="B135:C135"/>
    <mergeCell ref="B136:C136"/>
    <mergeCell ref="B127:C127"/>
    <mergeCell ref="B128:C128"/>
    <mergeCell ref="B129:C129"/>
    <mergeCell ref="B130:C130"/>
    <mergeCell ref="B131:C131"/>
    <mergeCell ref="B122:C122"/>
    <mergeCell ref="B123:C123"/>
    <mergeCell ref="B124:C124"/>
    <mergeCell ref="B125:C125"/>
    <mergeCell ref="B126:C126"/>
    <mergeCell ref="B117:C117"/>
    <mergeCell ref="B118:C118"/>
    <mergeCell ref="B119:C119"/>
    <mergeCell ref="B120:C120"/>
    <mergeCell ref="B121:C121"/>
    <mergeCell ref="B112:C112"/>
    <mergeCell ref="B113:C113"/>
    <mergeCell ref="B114:C114"/>
    <mergeCell ref="B115:C115"/>
    <mergeCell ref="B116:C116"/>
    <mergeCell ref="B107:C107"/>
    <mergeCell ref="B108:C108"/>
    <mergeCell ref="B109:C109"/>
    <mergeCell ref="B111:C111"/>
    <mergeCell ref="B110:M110"/>
    <mergeCell ref="B103:C103"/>
    <mergeCell ref="B104:C104"/>
    <mergeCell ref="B106:C106"/>
    <mergeCell ref="B105:M105"/>
    <mergeCell ref="B99:C99"/>
    <mergeCell ref="B100:C100"/>
    <mergeCell ref="B102:C102"/>
    <mergeCell ref="B101:M101"/>
    <mergeCell ref="B96:C96"/>
    <mergeCell ref="B97:C97"/>
    <mergeCell ref="B98:C98"/>
    <mergeCell ref="B93:C93"/>
    <mergeCell ref="B94:C94"/>
    <mergeCell ref="B75:C75"/>
    <mergeCell ref="B68:C68"/>
    <mergeCell ref="B69:C69"/>
    <mergeCell ref="B70:C70"/>
    <mergeCell ref="B71:C71"/>
    <mergeCell ref="B73:M73"/>
    <mergeCell ref="B64:C64"/>
    <mergeCell ref="B65:C65"/>
    <mergeCell ref="B60:C60"/>
    <mergeCell ref="B61:C61"/>
    <mergeCell ref="B62:C62"/>
    <mergeCell ref="B59:C59"/>
    <mergeCell ref="B55:C55"/>
    <mergeCell ref="B56:C56"/>
    <mergeCell ref="B57:C57"/>
    <mergeCell ref="B58:C58"/>
    <mergeCell ref="B51:C51"/>
    <mergeCell ref="B52:C52"/>
    <mergeCell ref="B53:C53"/>
    <mergeCell ref="B54:C54"/>
    <mergeCell ref="B50:C50"/>
    <mergeCell ref="B47:C47"/>
    <mergeCell ref="B48:C48"/>
    <mergeCell ref="B29:C29"/>
    <mergeCell ref="B39:C39"/>
    <mergeCell ref="B43:C43"/>
    <mergeCell ref="B36:C36"/>
    <mergeCell ref="B37:C37"/>
    <mergeCell ref="B38:C38"/>
    <mergeCell ref="B40:C40"/>
    <mergeCell ref="B41:C41"/>
    <mergeCell ref="B42:C42"/>
    <mergeCell ref="B30:C30"/>
    <mergeCell ref="B34:C34"/>
    <mergeCell ref="B35:C35"/>
    <mergeCell ref="B31:C31"/>
    <mergeCell ref="B32:C32"/>
    <mergeCell ref="B33:C33"/>
    <mergeCell ref="B45:C45"/>
    <mergeCell ref="B4:C5"/>
    <mergeCell ref="A4:A5"/>
    <mergeCell ref="K4:K5"/>
    <mergeCell ref="E4:G4"/>
    <mergeCell ref="L4:M4"/>
    <mergeCell ref="D4:D5"/>
    <mergeCell ref="B6:M6"/>
    <mergeCell ref="B46:C46"/>
    <mergeCell ref="B49:C49"/>
    <mergeCell ref="B28:M28"/>
    <mergeCell ref="B15:C15"/>
    <mergeCell ref="B18:C18"/>
    <mergeCell ref="B22:C22"/>
    <mergeCell ref="B23:C23"/>
    <mergeCell ref="B27:C27"/>
    <mergeCell ref="B14:C14"/>
    <mergeCell ref="B13:M13"/>
    <mergeCell ref="B19:C19"/>
    <mergeCell ref="B20:C20"/>
    <mergeCell ref="B21:C21"/>
    <mergeCell ref="B24:C24"/>
    <mergeCell ref="B25:C25"/>
    <mergeCell ref="B26:C26"/>
    <mergeCell ref="H4:J4"/>
  </mergeCells>
  <pageMargins left="0.7" right="0.7" top="0.75" bottom="0.75" header="0.3" footer="0.3"/>
  <ignoredErrors>
    <ignoredError sqref="L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K191"/>
  <sheetViews>
    <sheetView tabSelected="1" topLeftCell="A10" zoomScaleNormal="100" workbookViewId="0">
      <selection activeCell="L16" sqref="L16"/>
    </sheetView>
  </sheetViews>
  <sheetFormatPr baseColWidth="10" defaultColWidth="9.109375" defaultRowHeight="15.6" x14ac:dyDescent="0.3"/>
  <cols>
    <col min="1" max="1" width="7.109375" style="105" customWidth="1"/>
    <col min="2" max="2" width="27.88671875" style="105" customWidth="1"/>
    <col min="3" max="3" width="29.5546875" style="105" customWidth="1"/>
    <col min="4" max="4" width="9.109375" style="105"/>
    <col min="5" max="5" width="11.88671875" style="105" customWidth="1"/>
    <col min="6" max="6" width="11.109375" style="105" customWidth="1"/>
    <col min="7" max="7" width="18.44140625" style="105" customWidth="1"/>
    <col min="8" max="10" width="9.109375" style="105"/>
    <col min="11" max="11" width="9.109375" style="105" customWidth="1"/>
    <col min="12" max="16384" width="9.109375" style="105"/>
  </cols>
  <sheetData>
    <row r="4" spans="1:11" ht="18.75" customHeight="1" x14ac:dyDescent="0.3">
      <c r="A4" s="138" t="s">
        <v>0</v>
      </c>
      <c r="B4" s="138" t="s">
        <v>1</v>
      </c>
      <c r="C4" s="138"/>
      <c r="D4" s="139" t="s">
        <v>3</v>
      </c>
      <c r="E4" s="138" t="s">
        <v>5</v>
      </c>
      <c r="F4" s="139" t="s">
        <v>11</v>
      </c>
      <c r="G4" s="139" t="s">
        <v>12</v>
      </c>
    </row>
    <row r="5" spans="1:11" ht="15.75" customHeight="1" x14ac:dyDescent="0.3">
      <c r="A5" s="138"/>
      <c r="B5" s="138"/>
      <c r="C5" s="138"/>
      <c r="D5" s="139"/>
      <c r="E5" s="138"/>
      <c r="F5" s="139"/>
      <c r="G5" s="139"/>
    </row>
    <row r="6" spans="1:11" s="126" customFormat="1" x14ac:dyDescent="0.3">
      <c r="A6" s="112" t="s">
        <v>325</v>
      </c>
      <c r="B6" s="167" t="s">
        <v>326</v>
      </c>
      <c r="C6" s="167"/>
      <c r="D6" s="167"/>
      <c r="E6" s="167"/>
      <c r="F6" s="167"/>
      <c r="G6" s="167"/>
    </row>
    <row r="7" spans="1:11" s="126" customFormat="1" x14ac:dyDescent="0.3">
      <c r="A7" s="128"/>
      <c r="B7" s="182" t="s">
        <v>20</v>
      </c>
      <c r="C7" s="182"/>
      <c r="D7" s="119" t="s">
        <v>21</v>
      </c>
      <c r="E7" s="119" t="s">
        <v>22</v>
      </c>
      <c r="F7" s="119">
        <v>400000</v>
      </c>
      <c r="G7" s="119">
        <f t="shared" ref="G7:G9" si="0">SUM(F7)</f>
        <v>400000</v>
      </c>
    </row>
    <row r="8" spans="1:11" s="126" customFormat="1" x14ac:dyDescent="0.3">
      <c r="A8" s="128"/>
      <c r="B8" s="182" t="s">
        <v>23</v>
      </c>
      <c r="C8" s="182"/>
      <c r="D8" s="119" t="s">
        <v>21</v>
      </c>
      <c r="E8" s="119" t="s">
        <v>22</v>
      </c>
      <c r="F8" s="119">
        <v>100000</v>
      </c>
      <c r="G8" s="119">
        <f t="shared" si="0"/>
        <v>100000</v>
      </c>
    </row>
    <row r="9" spans="1:11" s="126" customFormat="1" x14ac:dyDescent="0.3">
      <c r="A9" s="128"/>
      <c r="B9" s="182" t="s">
        <v>24</v>
      </c>
      <c r="C9" s="182"/>
      <c r="D9" s="119" t="s">
        <v>21</v>
      </c>
      <c r="E9" s="119" t="s">
        <v>22</v>
      </c>
      <c r="F9" s="119">
        <v>100000</v>
      </c>
      <c r="G9" s="119">
        <f t="shared" si="0"/>
        <v>100000</v>
      </c>
    </row>
    <row r="10" spans="1:11" s="126" customFormat="1" x14ac:dyDescent="0.3">
      <c r="A10" s="168" t="s">
        <v>329</v>
      </c>
      <c r="B10" s="169"/>
      <c r="C10" s="169"/>
      <c r="D10" s="169"/>
      <c r="E10" s="169"/>
      <c r="F10" s="170"/>
      <c r="G10" s="129">
        <f>SUM(G7:G9)</f>
        <v>600000</v>
      </c>
    </row>
    <row r="11" spans="1:11" x14ac:dyDescent="0.3">
      <c r="A11" s="112" t="s">
        <v>159</v>
      </c>
      <c r="B11" s="167" t="s">
        <v>27</v>
      </c>
      <c r="C11" s="167"/>
      <c r="D11" s="167"/>
      <c r="E11" s="167"/>
      <c r="F11" s="167"/>
      <c r="G11" s="167"/>
    </row>
    <row r="12" spans="1:11" ht="18.600000000000001" x14ac:dyDescent="0.3">
      <c r="A12" s="106" t="s">
        <v>160</v>
      </c>
      <c r="B12" s="163" t="s">
        <v>28</v>
      </c>
      <c r="C12" s="163"/>
      <c r="D12" s="106" t="s">
        <v>313</v>
      </c>
      <c r="E12" s="114">
        <f>'Avant métré'!M7</f>
        <v>36.295999999999999</v>
      </c>
      <c r="F12" s="106">
        <v>8500</v>
      </c>
      <c r="G12" s="133">
        <f>E12*F12</f>
        <v>308516</v>
      </c>
    </row>
    <row r="13" spans="1:11" ht="18.600000000000001" x14ac:dyDescent="0.3">
      <c r="A13" s="106" t="s">
        <v>205</v>
      </c>
      <c r="B13" s="145" t="s">
        <v>175</v>
      </c>
      <c r="C13" s="145"/>
      <c r="D13" s="106" t="s">
        <v>313</v>
      </c>
      <c r="E13" s="114">
        <f>'Avant métré'!M8</f>
        <v>39.501000000000005</v>
      </c>
      <c r="F13" s="106">
        <v>14700</v>
      </c>
      <c r="G13" s="133">
        <f t="shared" ref="G13:G17" si="1">E13*F13</f>
        <v>580664.70000000007</v>
      </c>
    </row>
    <row r="14" spans="1:11" ht="18.75" customHeight="1" x14ac:dyDescent="0.3">
      <c r="A14" s="106" t="s">
        <v>206</v>
      </c>
      <c r="B14" s="145" t="s">
        <v>314</v>
      </c>
      <c r="C14" s="145"/>
      <c r="D14" s="106" t="s">
        <v>313</v>
      </c>
      <c r="E14" s="114">
        <f>'Avant métré'!M9</f>
        <v>59.251500000000007</v>
      </c>
      <c r="F14" s="106">
        <v>6500</v>
      </c>
      <c r="G14" s="133">
        <f t="shared" si="1"/>
        <v>385134.75000000006</v>
      </c>
      <c r="I14" s="105">
        <f>0.5*0.45</f>
        <v>0.22500000000000001</v>
      </c>
      <c r="K14" s="105">
        <f>E13/I14</f>
        <v>175.56000000000003</v>
      </c>
    </row>
    <row r="15" spans="1:11" ht="15.75" customHeight="1" x14ac:dyDescent="0.3">
      <c r="A15" s="106" t="s">
        <v>207</v>
      </c>
      <c r="B15" s="171" t="s">
        <v>33</v>
      </c>
      <c r="C15" s="171"/>
      <c r="D15" s="106" t="s">
        <v>315</v>
      </c>
      <c r="E15" s="114">
        <f>'Avant métré'!M10</f>
        <v>290.45999999999998</v>
      </c>
      <c r="F15" s="106">
        <v>6500</v>
      </c>
      <c r="G15" s="133">
        <f t="shared" si="1"/>
        <v>1887989.9999999998</v>
      </c>
    </row>
    <row r="16" spans="1:11" ht="18.600000000000001" x14ac:dyDescent="0.3">
      <c r="A16" s="106" t="s">
        <v>208</v>
      </c>
      <c r="B16" s="163" t="s">
        <v>35</v>
      </c>
      <c r="C16" s="163"/>
      <c r="D16" s="106" t="s">
        <v>315</v>
      </c>
      <c r="E16" s="114">
        <f>'Avant métré'!M11</f>
        <v>290.45999999999998</v>
      </c>
      <c r="F16" s="106">
        <v>300</v>
      </c>
      <c r="G16" s="133">
        <f t="shared" si="1"/>
        <v>87138</v>
      </c>
    </row>
    <row r="17" spans="1:7" ht="18.600000000000001" x14ac:dyDescent="0.3">
      <c r="A17" s="106" t="s">
        <v>209</v>
      </c>
      <c r="B17" s="163" t="s">
        <v>36</v>
      </c>
      <c r="C17" s="163"/>
      <c r="D17" s="106" t="s">
        <v>315</v>
      </c>
      <c r="E17" s="114">
        <f>'Avant métré'!M12</f>
        <v>105.72899999999998</v>
      </c>
      <c r="F17" s="106">
        <v>6500</v>
      </c>
      <c r="G17" s="133">
        <f t="shared" si="1"/>
        <v>687238.49999999988</v>
      </c>
    </row>
    <row r="18" spans="1:7" x14ac:dyDescent="0.3">
      <c r="A18" s="168" t="s">
        <v>312</v>
      </c>
      <c r="B18" s="169"/>
      <c r="C18" s="169"/>
      <c r="D18" s="169"/>
      <c r="E18" s="169"/>
      <c r="F18" s="170"/>
      <c r="G18" s="134">
        <f>SUM(G12:G17)</f>
        <v>3936681.95</v>
      </c>
    </row>
    <row r="19" spans="1:7" ht="16.5" customHeight="1" x14ac:dyDescent="0.3">
      <c r="A19" s="112" t="s">
        <v>161</v>
      </c>
      <c r="B19" s="140" t="s">
        <v>39</v>
      </c>
      <c r="C19" s="141"/>
      <c r="D19" s="141"/>
      <c r="E19" s="141"/>
      <c r="F19" s="141"/>
      <c r="G19" s="142"/>
    </row>
    <row r="20" spans="1:7" ht="15.75" customHeight="1" x14ac:dyDescent="0.3">
      <c r="A20" s="106" t="s">
        <v>210</v>
      </c>
      <c r="B20" s="143" t="s">
        <v>162</v>
      </c>
      <c r="C20" s="143"/>
      <c r="D20" s="106" t="s">
        <v>313</v>
      </c>
      <c r="E20" s="114">
        <f>'Avant métré'!M14</f>
        <v>3.9501000000000008</v>
      </c>
      <c r="F20" s="106">
        <v>90000</v>
      </c>
      <c r="G20" s="276">
        <f>E20*F20</f>
        <v>355509.00000000006</v>
      </c>
    </row>
    <row r="21" spans="1:7" ht="18.75" customHeight="1" x14ac:dyDescent="0.3">
      <c r="A21" s="106" t="s">
        <v>211</v>
      </c>
      <c r="B21" s="143" t="s">
        <v>168</v>
      </c>
      <c r="C21" s="143"/>
      <c r="D21" s="106" t="s">
        <v>313</v>
      </c>
      <c r="E21" s="114">
        <f>'Avant métré'!M15</f>
        <v>7.9002000000000017</v>
      </c>
      <c r="F21" s="106">
        <v>150000</v>
      </c>
      <c r="G21" s="276">
        <f t="shared" ref="G21:G33" si="2">E21*F21</f>
        <v>1185030.0000000002</v>
      </c>
    </row>
    <row r="22" spans="1:7" ht="15.75" customHeight="1" x14ac:dyDescent="0.3">
      <c r="A22" s="106" t="s">
        <v>212</v>
      </c>
      <c r="B22" s="145" t="s">
        <v>42</v>
      </c>
      <c r="C22" s="145"/>
      <c r="D22" s="106" t="s">
        <v>43</v>
      </c>
      <c r="E22" s="114">
        <f>'Avant métré'!M16</f>
        <v>207.80686080000001</v>
      </c>
      <c r="F22" s="106">
        <v>1300</v>
      </c>
      <c r="G22" s="276">
        <f t="shared" si="2"/>
        <v>270148.91904000001</v>
      </c>
    </row>
    <row r="23" spans="1:7" ht="16.5" customHeight="1" x14ac:dyDescent="0.3">
      <c r="A23" s="106" t="s">
        <v>213</v>
      </c>
      <c r="B23" s="145" t="s">
        <v>44</v>
      </c>
      <c r="C23" s="145"/>
      <c r="D23" s="106" t="s">
        <v>43</v>
      </c>
      <c r="E23" s="114">
        <f>'Avant métré'!M17</f>
        <v>319.35933000000006</v>
      </c>
      <c r="F23" s="106">
        <v>1300</v>
      </c>
      <c r="G23" s="276">
        <f t="shared" si="2"/>
        <v>415167.12900000007</v>
      </c>
    </row>
    <row r="24" spans="1:7" ht="18.75" customHeight="1" x14ac:dyDescent="0.3">
      <c r="A24" s="106" t="s">
        <v>214</v>
      </c>
      <c r="B24" s="143" t="s">
        <v>169</v>
      </c>
      <c r="C24" s="143"/>
      <c r="D24" s="106" t="s">
        <v>313</v>
      </c>
      <c r="E24" s="114">
        <f>'Avant métré'!M18</f>
        <v>0.62999999999999989</v>
      </c>
      <c r="F24" s="106">
        <v>150000</v>
      </c>
      <c r="G24" s="276">
        <f t="shared" si="2"/>
        <v>94499.999999999985</v>
      </c>
    </row>
    <row r="25" spans="1:7" ht="16.5" customHeight="1" x14ac:dyDescent="0.3">
      <c r="A25" s="106" t="s">
        <v>215</v>
      </c>
      <c r="B25" s="145" t="s">
        <v>176</v>
      </c>
      <c r="C25" s="145"/>
      <c r="D25" s="106" t="s">
        <v>43</v>
      </c>
      <c r="E25" s="114">
        <f>'Avant métré'!M19</f>
        <v>144.261</v>
      </c>
      <c r="F25" s="106">
        <v>1300</v>
      </c>
      <c r="G25" s="276">
        <f t="shared" si="2"/>
        <v>187539.3</v>
      </c>
    </row>
    <row r="26" spans="1:7" ht="16.5" customHeight="1" x14ac:dyDescent="0.3">
      <c r="A26" s="106" t="s">
        <v>216</v>
      </c>
      <c r="B26" s="145" t="s">
        <v>48</v>
      </c>
      <c r="C26" s="145"/>
      <c r="D26" s="106" t="s">
        <v>43</v>
      </c>
      <c r="E26" s="114">
        <f>'Avant métré'!M20</f>
        <v>20.374092000000005</v>
      </c>
      <c r="F26" s="106">
        <v>1300</v>
      </c>
      <c r="G26" s="276">
        <f t="shared" si="2"/>
        <v>26486.319600000006</v>
      </c>
    </row>
    <row r="27" spans="1:7" ht="15.75" customHeight="1" x14ac:dyDescent="0.3">
      <c r="A27" s="106" t="s">
        <v>217</v>
      </c>
      <c r="B27" s="145" t="s">
        <v>183</v>
      </c>
      <c r="C27" s="145"/>
      <c r="D27" s="106" t="s">
        <v>315</v>
      </c>
      <c r="E27" s="114">
        <f>'Avant métré'!M21</f>
        <v>18</v>
      </c>
      <c r="F27" s="106">
        <v>5000</v>
      </c>
      <c r="G27" s="276">
        <f t="shared" si="2"/>
        <v>90000</v>
      </c>
    </row>
    <row r="28" spans="1:7" ht="15.75" customHeight="1" x14ac:dyDescent="0.3">
      <c r="A28" s="106" t="s">
        <v>218</v>
      </c>
      <c r="B28" s="143" t="s">
        <v>166</v>
      </c>
      <c r="C28" s="143"/>
      <c r="D28" s="106" t="s">
        <v>315</v>
      </c>
      <c r="E28" s="114">
        <f>'Avant métré'!M22</f>
        <v>61.445999999999998</v>
      </c>
      <c r="F28" s="106">
        <v>11000</v>
      </c>
      <c r="G28" s="276">
        <f t="shared" si="2"/>
        <v>675906</v>
      </c>
    </row>
    <row r="29" spans="1:7" ht="16.5" customHeight="1" x14ac:dyDescent="0.3">
      <c r="A29" s="106" t="s">
        <v>219</v>
      </c>
      <c r="B29" s="143" t="s">
        <v>178</v>
      </c>
      <c r="C29" s="143"/>
      <c r="D29" s="106" t="s">
        <v>320</v>
      </c>
      <c r="E29" s="114">
        <f>'Avant métré'!M23</f>
        <v>7.0224000000000011</v>
      </c>
      <c r="F29" s="106">
        <v>150000</v>
      </c>
      <c r="G29" s="276">
        <f t="shared" si="2"/>
        <v>1053360.0000000002</v>
      </c>
    </row>
    <row r="30" spans="1:7" ht="15.75" customHeight="1" x14ac:dyDescent="0.3">
      <c r="A30" s="106" t="s">
        <v>220</v>
      </c>
      <c r="B30" s="145" t="s">
        <v>177</v>
      </c>
      <c r="C30" s="145"/>
      <c r="D30" s="106" t="s">
        <v>43</v>
      </c>
      <c r="E30" s="114">
        <f>'Avant métré'!M24</f>
        <v>277.07581440000001</v>
      </c>
      <c r="F30" s="106">
        <v>1300</v>
      </c>
      <c r="G30" s="276">
        <f t="shared" si="2"/>
        <v>360198.55872000003</v>
      </c>
    </row>
    <row r="31" spans="1:7" ht="15.75" customHeight="1" x14ac:dyDescent="0.3">
      <c r="A31" s="106" t="s">
        <v>221</v>
      </c>
      <c r="B31" s="145" t="s">
        <v>48</v>
      </c>
      <c r="C31" s="145"/>
      <c r="D31" s="106" t="s">
        <v>43</v>
      </c>
      <c r="E31" s="114">
        <f>'Avant métré'!M25</f>
        <v>132.50705760000002</v>
      </c>
      <c r="F31" s="106">
        <v>1300</v>
      </c>
      <c r="G31" s="276">
        <f t="shared" si="2"/>
        <v>172259.17488000004</v>
      </c>
    </row>
    <row r="32" spans="1:7" ht="15.75" customHeight="1" x14ac:dyDescent="0.3">
      <c r="A32" s="106" t="s">
        <v>222</v>
      </c>
      <c r="B32" s="145" t="s">
        <v>183</v>
      </c>
      <c r="C32" s="145"/>
      <c r="D32" s="106" t="s">
        <v>315</v>
      </c>
      <c r="E32" s="114">
        <f>'Avant métré'!M26</f>
        <v>70.224000000000004</v>
      </c>
      <c r="F32" s="106">
        <v>5000</v>
      </c>
      <c r="G32" s="276">
        <f t="shared" si="2"/>
        <v>351120</v>
      </c>
    </row>
    <row r="33" spans="1:7" ht="16.5" customHeight="1" x14ac:dyDescent="0.3">
      <c r="A33" s="106" t="s">
        <v>223</v>
      </c>
      <c r="B33" s="145" t="s">
        <v>181</v>
      </c>
      <c r="C33" s="145"/>
      <c r="D33" s="106" t="s">
        <v>320</v>
      </c>
      <c r="E33" s="114">
        <f>'Avant métré'!M27</f>
        <v>23.236799999999999</v>
      </c>
      <c r="F33" s="106">
        <v>115000</v>
      </c>
      <c r="G33" s="276">
        <f t="shared" si="2"/>
        <v>2672232</v>
      </c>
    </row>
    <row r="34" spans="1:7" ht="16.5" customHeight="1" x14ac:dyDescent="0.3">
      <c r="A34" s="168" t="s">
        <v>330</v>
      </c>
      <c r="B34" s="169"/>
      <c r="C34" s="169"/>
      <c r="D34" s="169"/>
      <c r="E34" s="169"/>
      <c r="F34" s="170"/>
      <c r="G34" s="277">
        <f>SUM(G20:G33)</f>
        <v>7909456.4012400005</v>
      </c>
    </row>
    <row r="35" spans="1:7" ht="15.75" customHeight="1" x14ac:dyDescent="0.3">
      <c r="A35" s="112" t="s">
        <v>163</v>
      </c>
      <c r="B35" s="167" t="s">
        <v>164</v>
      </c>
      <c r="C35" s="167"/>
      <c r="D35" s="167"/>
      <c r="E35" s="167"/>
      <c r="F35" s="167"/>
      <c r="G35" s="167"/>
    </row>
    <row r="36" spans="1:7" ht="15.75" customHeight="1" x14ac:dyDescent="0.3">
      <c r="A36" s="115" t="s">
        <v>224</v>
      </c>
      <c r="B36" s="144" t="s">
        <v>56</v>
      </c>
      <c r="C36" s="144"/>
      <c r="D36" s="111"/>
      <c r="E36" s="111"/>
      <c r="F36" s="111"/>
      <c r="G36" s="111"/>
    </row>
    <row r="37" spans="1:7" ht="15.75" customHeight="1" x14ac:dyDescent="0.3">
      <c r="A37" s="114" t="s">
        <v>225</v>
      </c>
      <c r="B37" s="143" t="s">
        <v>170</v>
      </c>
      <c r="C37" s="143"/>
      <c r="D37" s="106" t="s">
        <v>320</v>
      </c>
      <c r="E37" s="114">
        <f>'Avant métré'!M30</f>
        <v>5.0399999999999991</v>
      </c>
      <c r="F37" s="106">
        <v>150000</v>
      </c>
      <c r="G37" s="133">
        <f>E37*F37</f>
        <v>755999.99999999988</v>
      </c>
    </row>
    <row r="38" spans="1:7" ht="16.5" customHeight="1" x14ac:dyDescent="0.3">
      <c r="A38" s="114" t="s">
        <v>226</v>
      </c>
      <c r="B38" s="145" t="s">
        <v>176</v>
      </c>
      <c r="C38" s="145"/>
      <c r="D38" s="106" t="s">
        <v>43</v>
      </c>
      <c r="E38" s="114">
        <f>'Avant métré'!M31</f>
        <v>77.679000000000002</v>
      </c>
      <c r="F38" s="106">
        <v>1300</v>
      </c>
      <c r="G38" s="133">
        <f t="shared" ref="G38:G69" si="3">E38*F38</f>
        <v>100982.7</v>
      </c>
    </row>
    <row r="39" spans="1:7" ht="15.75" customHeight="1" x14ac:dyDescent="0.3">
      <c r="A39" s="114" t="s">
        <v>227</v>
      </c>
      <c r="B39" s="145" t="s">
        <v>48</v>
      </c>
      <c r="C39" s="145"/>
      <c r="D39" s="106" t="s">
        <v>43</v>
      </c>
      <c r="E39" s="114">
        <f>'Avant métré'!M32</f>
        <v>95.079096000000021</v>
      </c>
      <c r="F39" s="106">
        <v>1300</v>
      </c>
      <c r="G39" s="133">
        <f t="shared" si="3"/>
        <v>123602.82480000003</v>
      </c>
    </row>
    <row r="40" spans="1:7" ht="18.600000000000001" x14ac:dyDescent="0.3">
      <c r="A40" s="114" t="s">
        <v>228</v>
      </c>
      <c r="B40" s="145" t="s">
        <v>183</v>
      </c>
      <c r="C40" s="145"/>
      <c r="D40" s="106" t="s">
        <v>315</v>
      </c>
      <c r="E40" s="114">
        <f>'Avant métré'!M33</f>
        <v>100.79999999999998</v>
      </c>
      <c r="F40" s="106">
        <v>5000</v>
      </c>
      <c r="G40" s="133">
        <f t="shared" si="3"/>
        <v>503999.99999999994</v>
      </c>
    </row>
    <row r="41" spans="1:7" ht="18.600000000000001" x14ac:dyDescent="0.3">
      <c r="A41" s="114" t="s">
        <v>229</v>
      </c>
      <c r="B41" s="143" t="s">
        <v>167</v>
      </c>
      <c r="C41" s="143"/>
      <c r="D41" s="106" t="s">
        <v>315</v>
      </c>
      <c r="E41" s="114">
        <f>'Avant métré'!M34</f>
        <v>491.56799999999998</v>
      </c>
      <c r="F41" s="106">
        <v>11000</v>
      </c>
      <c r="G41" s="133">
        <f t="shared" si="3"/>
        <v>5407248</v>
      </c>
    </row>
    <row r="42" spans="1:7" ht="18.600000000000001" x14ac:dyDescent="0.3">
      <c r="A42" s="114" t="s">
        <v>230</v>
      </c>
      <c r="B42" s="143" t="s">
        <v>171</v>
      </c>
      <c r="C42" s="143"/>
      <c r="D42" s="106" t="s">
        <v>320</v>
      </c>
      <c r="E42" s="114">
        <f>'Avant métré'!M35</f>
        <v>7.0224000000000011</v>
      </c>
      <c r="F42" s="106">
        <v>150000</v>
      </c>
      <c r="G42" s="133">
        <f t="shared" si="3"/>
        <v>1053360.0000000002</v>
      </c>
    </row>
    <row r="43" spans="1:7" x14ac:dyDescent="0.3">
      <c r="A43" s="114" t="s">
        <v>231</v>
      </c>
      <c r="B43" s="145" t="s">
        <v>177</v>
      </c>
      <c r="C43" s="145"/>
      <c r="D43" s="106" t="s">
        <v>43</v>
      </c>
      <c r="E43" s="114">
        <f>'Avant métré'!M36</f>
        <v>277.07581440000001</v>
      </c>
      <c r="F43" s="106">
        <v>1300</v>
      </c>
      <c r="G43" s="133">
        <f t="shared" si="3"/>
        <v>360198.55872000003</v>
      </c>
    </row>
    <row r="44" spans="1:7" x14ac:dyDescent="0.3">
      <c r="A44" s="114" t="s">
        <v>232</v>
      </c>
      <c r="B44" s="145" t="s">
        <v>48</v>
      </c>
      <c r="C44" s="145"/>
      <c r="D44" s="106" t="s">
        <v>43</v>
      </c>
      <c r="E44" s="114">
        <f>'Avant métré'!M37</f>
        <v>132.50705760000002</v>
      </c>
      <c r="F44" s="106">
        <v>1300</v>
      </c>
      <c r="G44" s="133">
        <f t="shared" si="3"/>
        <v>172259.17488000004</v>
      </c>
    </row>
    <row r="45" spans="1:7" ht="18.600000000000001" x14ac:dyDescent="0.3">
      <c r="A45" s="114" t="s">
        <v>233</v>
      </c>
      <c r="B45" s="145" t="s">
        <v>183</v>
      </c>
      <c r="C45" s="145"/>
      <c r="D45" s="106" t="s">
        <v>315</v>
      </c>
      <c r="E45" s="114">
        <f>'Avant métré'!M38</f>
        <v>70.224000000000004</v>
      </c>
      <c r="F45" s="106">
        <v>5000</v>
      </c>
      <c r="G45" s="133">
        <f t="shared" si="3"/>
        <v>351120</v>
      </c>
    </row>
    <row r="46" spans="1:7" ht="18.600000000000001" x14ac:dyDescent="0.3">
      <c r="A46" s="114" t="s">
        <v>234</v>
      </c>
      <c r="B46" s="143" t="s">
        <v>172</v>
      </c>
      <c r="C46" s="143"/>
      <c r="D46" s="106" t="s">
        <v>320</v>
      </c>
      <c r="E46" s="114">
        <f>'Avant métré'!M39</f>
        <v>7.0224000000000011</v>
      </c>
      <c r="F46" s="106">
        <v>150000</v>
      </c>
      <c r="G46" s="133">
        <f t="shared" si="3"/>
        <v>1053360.0000000002</v>
      </c>
    </row>
    <row r="47" spans="1:7" x14ac:dyDescent="0.3">
      <c r="A47" s="114" t="s">
        <v>235</v>
      </c>
      <c r="B47" s="145" t="s">
        <v>177</v>
      </c>
      <c r="C47" s="145"/>
      <c r="D47" s="106" t="s">
        <v>43</v>
      </c>
      <c r="E47" s="114">
        <f>'Avant métré'!M40</f>
        <v>277.07581440000001</v>
      </c>
      <c r="F47" s="106">
        <v>1300</v>
      </c>
      <c r="G47" s="133">
        <f t="shared" si="3"/>
        <v>360198.55872000003</v>
      </c>
    </row>
    <row r="48" spans="1:7" x14ac:dyDescent="0.3">
      <c r="A48" s="114" t="s">
        <v>236</v>
      </c>
      <c r="B48" s="145" t="s">
        <v>48</v>
      </c>
      <c r="C48" s="145"/>
      <c r="D48" s="106" t="s">
        <v>43</v>
      </c>
      <c r="E48" s="114">
        <f>'Avant métré'!M41</f>
        <v>132.50705760000002</v>
      </c>
      <c r="F48" s="106">
        <v>1300</v>
      </c>
      <c r="G48" s="133">
        <f t="shared" si="3"/>
        <v>172259.17488000004</v>
      </c>
    </row>
    <row r="49" spans="1:7" ht="18.600000000000001" x14ac:dyDescent="0.3">
      <c r="A49" s="114" t="s">
        <v>237</v>
      </c>
      <c r="B49" s="145" t="s">
        <v>183</v>
      </c>
      <c r="C49" s="145"/>
      <c r="D49" s="106" t="s">
        <v>315</v>
      </c>
      <c r="E49" s="114">
        <f>'Avant métré'!M42</f>
        <v>70.224000000000004</v>
      </c>
      <c r="F49" s="106">
        <v>5000</v>
      </c>
      <c r="G49" s="133">
        <f t="shared" si="3"/>
        <v>351120</v>
      </c>
    </row>
    <row r="50" spans="1:7" ht="31.5" customHeight="1" x14ac:dyDescent="0.3">
      <c r="A50" s="114" t="s">
        <v>238</v>
      </c>
      <c r="B50" s="149" t="s">
        <v>174</v>
      </c>
      <c r="C50" s="149"/>
      <c r="D50" s="106" t="s">
        <v>320</v>
      </c>
      <c r="E50" s="114">
        <f>'Avant métré'!M43</f>
        <v>43.568999999999996</v>
      </c>
      <c r="F50" s="106">
        <v>150000</v>
      </c>
      <c r="G50" s="133">
        <f t="shared" si="3"/>
        <v>6535349.9999999991</v>
      </c>
    </row>
    <row r="51" spans="1:7" ht="15" customHeight="1" x14ac:dyDescent="0.3">
      <c r="A51" s="114" t="s">
        <v>239</v>
      </c>
      <c r="B51" s="166" t="s">
        <v>180</v>
      </c>
      <c r="C51" s="166"/>
      <c r="D51" s="106" t="s">
        <v>43</v>
      </c>
      <c r="E51" s="114">
        <f>'Avant métré'!M44</f>
        <v>2614.14</v>
      </c>
      <c r="F51" s="106">
        <v>1300</v>
      </c>
      <c r="G51" s="133">
        <f t="shared" si="3"/>
        <v>3398382</v>
      </c>
    </row>
    <row r="52" spans="1:7" ht="15" customHeight="1" x14ac:dyDescent="0.3">
      <c r="A52" s="114" t="s">
        <v>240</v>
      </c>
      <c r="B52" s="166" t="s">
        <v>322</v>
      </c>
      <c r="C52" s="166"/>
      <c r="D52" s="106"/>
      <c r="E52" s="114">
        <f>'Avant métré'!M45</f>
        <v>454</v>
      </c>
      <c r="F52" s="106">
        <v>5000</v>
      </c>
      <c r="G52" s="133">
        <f t="shared" si="3"/>
        <v>2270000</v>
      </c>
    </row>
    <row r="53" spans="1:7" ht="18.600000000000001" x14ac:dyDescent="0.3">
      <c r="A53" s="114" t="s">
        <v>241</v>
      </c>
      <c r="B53" s="143" t="s">
        <v>173</v>
      </c>
      <c r="C53" s="143"/>
      <c r="D53" s="106" t="s">
        <v>320</v>
      </c>
      <c r="E53" s="114">
        <f>'Avant métré'!M46</f>
        <v>3.04</v>
      </c>
      <c r="F53" s="106">
        <v>150000</v>
      </c>
      <c r="G53" s="133">
        <f t="shared" si="3"/>
        <v>456000</v>
      </c>
    </row>
    <row r="54" spans="1:7" x14ac:dyDescent="0.3">
      <c r="A54" s="114" t="s">
        <v>242</v>
      </c>
      <c r="B54" s="145" t="s">
        <v>176</v>
      </c>
      <c r="C54" s="145"/>
      <c r="D54" s="106" t="s">
        <v>43</v>
      </c>
      <c r="E54" s="114">
        <f>'Avant métré'!M47</f>
        <v>44.782560000000004</v>
      </c>
      <c r="F54" s="106">
        <v>1300</v>
      </c>
      <c r="G54" s="133">
        <f t="shared" si="3"/>
        <v>58217.328000000001</v>
      </c>
    </row>
    <row r="55" spans="1:7" x14ac:dyDescent="0.3">
      <c r="A55" s="114" t="s">
        <v>243</v>
      </c>
      <c r="B55" s="145" t="s">
        <v>179</v>
      </c>
      <c r="C55" s="145"/>
      <c r="D55" s="106" t="s">
        <v>43</v>
      </c>
      <c r="E55" s="114">
        <f>'Avant métré'!M48</f>
        <v>10.870128000000001</v>
      </c>
      <c r="F55" s="106">
        <v>1300</v>
      </c>
      <c r="G55" s="133">
        <f t="shared" si="3"/>
        <v>14131.166400000002</v>
      </c>
    </row>
    <row r="56" spans="1:7" x14ac:dyDescent="0.3">
      <c r="A56" s="115" t="s">
        <v>244</v>
      </c>
      <c r="B56" s="144" t="s">
        <v>165</v>
      </c>
      <c r="C56" s="144"/>
      <c r="D56" s="111"/>
      <c r="E56" s="111"/>
      <c r="F56" s="124"/>
      <c r="G56" s="136"/>
    </row>
    <row r="57" spans="1:7" ht="18.600000000000001" x14ac:dyDescent="0.3">
      <c r="A57" s="106" t="s">
        <v>245</v>
      </c>
      <c r="B57" s="143" t="s">
        <v>170</v>
      </c>
      <c r="C57" s="143"/>
      <c r="D57" s="106" t="s">
        <v>320</v>
      </c>
      <c r="E57" s="114">
        <f>'Avant métré'!M50</f>
        <v>5.0399999999999991</v>
      </c>
      <c r="F57" s="106">
        <v>150000</v>
      </c>
      <c r="G57" s="133">
        <f t="shared" si="3"/>
        <v>755999.99999999988</v>
      </c>
    </row>
    <row r="58" spans="1:7" x14ac:dyDescent="0.3">
      <c r="A58" s="106" t="s">
        <v>246</v>
      </c>
      <c r="B58" s="145" t="s">
        <v>176</v>
      </c>
      <c r="C58" s="145"/>
      <c r="D58" s="106" t="s">
        <v>43</v>
      </c>
      <c r="E58" s="114">
        <f>'Avant métré'!M51</f>
        <v>77.679000000000002</v>
      </c>
      <c r="F58" s="106">
        <v>1300</v>
      </c>
      <c r="G58" s="133">
        <f t="shared" si="3"/>
        <v>100982.7</v>
      </c>
    </row>
    <row r="59" spans="1:7" x14ac:dyDescent="0.3">
      <c r="A59" s="106" t="s">
        <v>247</v>
      </c>
      <c r="B59" s="145" t="s">
        <v>48</v>
      </c>
      <c r="C59" s="145"/>
      <c r="D59" s="106" t="s">
        <v>43</v>
      </c>
      <c r="E59" s="114">
        <f>'Avant métré'!M52</f>
        <v>24547.185432000006</v>
      </c>
      <c r="F59" s="106">
        <v>1300</v>
      </c>
      <c r="G59" s="133">
        <f t="shared" si="3"/>
        <v>31911341.061600007</v>
      </c>
    </row>
    <row r="60" spans="1:7" ht="18.600000000000001" x14ac:dyDescent="0.3">
      <c r="A60" s="106" t="s">
        <v>248</v>
      </c>
      <c r="B60" s="145" t="s">
        <v>183</v>
      </c>
      <c r="C60" s="145"/>
      <c r="D60" s="106" t="s">
        <v>315</v>
      </c>
      <c r="E60" s="114">
        <f>'Avant métré'!M53</f>
        <v>100.79999999999998</v>
      </c>
      <c r="F60" s="106">
        <v>5000</v>
      </c>
      <c r="G60" s="133">
        <f t="shared" si="3"/>
        <v>503999.99999999994</v>
      </c>
    </row>
    <row r="61" spans="1:7" ht="18.600000000000001" x14ac:dyDescent="0.3">
      <c r="A61" s="106" t="s">
        <v>249</v>
      </c>
      <c r="B61" s="143" t="s">
        <v>167</v>
      </c>
      <c r="C61" s="143"/>
      <c r="D61" s="106" t="s">
        <v>315</v>
      </c>
      <c r="E61" s="114">
        <f>'Avant métré'!M54</f>
        <v>491.56799999999998</v>
      </c>
      <c r="F61" s="106">
        <v>11000</v>
      </c>
      <c r="G61" s="133">
        <f t="shared" si="3"/>
        <v>5407248</v>
      </c>
    </row>
    <row r="62" spans="1:7" ht="18.600000000000001" x14ac:dyDescent="0.3">
      <c r="A62" s="106" t="s">
        <v>250</v>
      </c>
      <c r="B62" s="143" t="s">
        <v>171</v>
      </c>
      <c r="C62" s="143"/>
      <c r="D62" s="106" t="s">
        <v>320</v>
      </c>
      <c r="E62" s="114">
        <f>'Avant métré'!M55</f>
        <v>7.0224000000000011</v>
      </c>
      <c r="F62" s="106">
        <v>150000</v>
      </c>
      <c r="G62" s="133">
        <f t="shared" si="3"/>
        <v>1053360.0000000002</v>
      </c>
    </row>
    <row r="63" spans="1:7" x14ac:dyDescent="0.3">
      <c r="A63" s="106" t="s">
        <v>251</v>
      </c>
      <c r="B63" s="145" t="s">
        <v>177</v>
      </c>
      <c r="C63" s="145"/>
      <c r="D63" s="106" t="s">
        <v>43</v>
      </c>
      <c r="E63" s="114">
        <f>'Avant métré'!M56</f>
        <v>277.07581440000001</v>
      </c>
      <c r="F63" s="106">
        <v>1300</v>
      </c>
      <c r="G63" s="133">
        <f t="shared" si="3"/>
        <v>360198.55872000003</v>
      </c>
    </row>
    <row r="64" spans="1:7" x14ac:dyDescent="0.3">
      <c r="A64" s="106" t="s">
        <v>252</v>
      </c>
      <c r="B64" s="145" t="s">
        <v>48</v>
      </c>
      <c r="C64" s="145"/>
      <c r="D64" s="106" t="s">
        <v>43</v>
      </c>
      <c r="E64" s="114">
        <f>'Avant métré'!M57</f>
        <v>34210.204459200002</v>
      </c>
      <c r="F64" s="106">
        <v>1300</v>
      </c>
      <c r="G64" s="133">
        <f t="shared" si="3"/>
        <v>44473265.796960004</v>
      </c>
    </row>
    <row r="65" spans="1:7" ht="18.600000000000001" x14ac:dyDescent="0.3">
      <c r="A65" s="106" t="s">
        <v>253</v>
      </c>
      <c r="B65" s="145" t="s">
        <v>183</v>
      </c>
      <c r="C65" s="145"/>
      <c r="D65" s="106" t="s">
        <v>315</v>
      </c>
      <c r="E65" s="114">
        <f>'Avant métré'!M58</f>
        <v>70.224000000000004</v>
      </c>
      <c r="F65" s="106">
        <v>5000</v>
      </c>
      <c r="G65" s="133">
        <f t="shared" si="3"/>
        <v>351120</v>
      </c>
    </row>
    <row r="66" spans="1:7" ht="18.600000000000001" x14ac:dyDescent="0.3">
      <c r="A66" s="106" t="s">
        <v>254</v>
      </c>
      <c r="B66" s="143" t="s">
        <v>172</v>
      </c>
      <c r="C66" s="143"/>
      <c r="D66" s="106" t="s">
        <v>320</v>
      </c>
      <c r="E66" s="114">
        <f>'Avant métré'!M59</f>
        <v>7.0224000000000011</v>
      </c>
      <c r="F66" s="106">
        <v>150000</v>
      </c>
      <c r="G66" s="133">
        <f t="shared" si="3"/>
        <v>1053360.0000000002</v>
      </c>
    </row>
    <row r="67" spans="1:7" x14ac:dyDescent="0.3">
      <c r="A67" s="106" t="s">
        <v>255</v>
      </c>
      <c r="B67" s="145" t="s">
        <v>177</v>
      </c>
      <c r="C67" s="145"/>
      <c r="D67" s="106" t="s">
        <v>43</v>
      </c>
      <c r="E67" s="114">
        <f>'Avant métré'!M60</f>
        <v>277.07581440000001</v>
      </c>
      <c r="F67" s="106">
        <v>1300</v>
      </c>
      <c r="G67" s="133">
        <f t="shared" si="3"/>
        <v>360198.55872000003</v>
      </c>
    </row>
    <row r="68" spans="1:7" x14ac:dyDescent="0.3">
      <c r="A68" s="106" t="s">
        <v>256</v>
      </c>
      <c r="B68" s="145" t="s">
        <v>48</v>
      </c>
      <c r="C68" s="145"/>
      <c r="D68" s="106" t="s">
        <v>43</v>
      </c>
      <c r="E68" s="114">
        <f>'Avant métré'!M61</f>
        <v>34210.204459200002</v>
      </c>
      <c r="F68" s="106">
        <v>1300</v>
      </c>
      <c r="G68" s="133">
        <f t="shared" si="3"/>
        <v>44473265.796960004</v>
      </c>
    </row>
    <row r="69" spans="1:7" ht="18.600000000000001" x14ac:dyDescent="0.3">
      <c r="A69" s="106" t="s">
        <v>321</v>
      </c>
      <c r="B69" s="145" t="s">
        <v>183</v>
      </c>
      <c r="C69" s="145"/>
      <c r="D69" s="106" t="s">
        <v>315</v>
      </c>
      <c r="E69" s="114">
        <f>'Avant métré'!M62</f>
        <v>70.224000000000004</v>
      </c>
      <c r="F69" s="106">
        <v>5000</v>
      </c>
      <c r="G69" s="133">
        <f t="shared" si="3"/>
        <v>351120</v>
      </c>
    </row>
    <row r="70" spans="1:7" x14ac:dyDescent="0.3">
      <c r="A70" s="168" t="s">
        <v>331</v>
      </c>
      <c r="B70" s="169"/>
      <c r="C70" s="169"/>
      <c r="D70" s="169"/>
      <c r="E70" s="169"/>
      <c r="F70" s="170"/>
      <c r="G70" s="129">
        <f>SUM(G37:G69)</f>
        <v>154653249.95936</v>
      </c>
    </row>
    <row r="71" spans="1:7" x14ac:dyDescent="0.3">
      <c r="A71" s="112" t="s">
        <v>182</v>
      </c>
      <c r="B71" s="167" t="s">
        <v>79</v>
      </c>
      <c r="C71" s="167"/>
      <c r="D71" s="167"/>
      <c r="E71" s="167"/>
      <c r="F71" s="167"/>
      <c r="G71" s="167"/>
    </row>
    <row r="72" spans="1:7" ht="18.75" customHeight="1" x14ac:dyDescent="0.3">
      <c r="A72" s="106" t="s">
        <v>257</v>
      </c>
      <c r="B72" s="145" t="s">
        <v>80</v>
      </c>
      <c r="C72" s="145"/>
      <c r="D72" s="106" t="s">
        <v>320</v>
      </c>
      <c r="E72" s="106">
        <f>'Avant métré'!M64</f>
        <v>4.3776999999999999</v>
      </c>
      <c r="F72" s="106">
        <v>300000</v>
      </c>
      <c r="G72" s="106">
        <f>E72*F72</f>
        <v>1313310</v>
      </c>
    </row>
    <row r="73" spans="1:7" ht="18.600000000000001" x14ac:dyDescent="0.3">
      <c r="A73" s="106" t="s">
        <v>258</v>
      </c>
      <c r="B73" s="145" t="s">
        <v>81</v>
      </c>
      <c r="C73" s="145"/>
      <c r="D73" s="106" t="s">
        <v>315</v>
      </c>
      <c r="E73" s="106">
        <f>'Avant métré'!M65</f>
        <v>286</v>
      </c>
      <c r="F73" s="106">
        <v>5000</v>
      </c>
      <c r="G73" s="106">
        <f>E73*F73</f>
        <v>1430000</v>
      </c>
    </row>
    <row r="74" spans="1:7" x14ac:dyDescent="0.3">
      <c r="A74" s="168" t="s">
        <v>332</v>
      </c>
      <c r="B74" s="169"/>
      <c r="C74" s="169"/>
      <c r="D74" s="169"/>
      <c r="E74" s="169"/>
      <c r="F74" s="170"/>
      <c r="G74" s="129">
        <f>SUM(G72:G73)</f>
        <v>2743310</v>
      </c>
    </row>
    <row r="75" spans="1:7" x14ac:dyDescent="0.3">
      <c r="A75" s="112" t="s">
        <v>184</v>
      </c>
      <c r="B75" s="167" t="s">
        <v>185</v>
      </c>
      <c r="C75" s="167"/>
      <c r="D75" s="167"/>
      <c r="E75" s="167"/>
      <c r="F75" s="167"/>
      <c r="G75" s="167"/>
    </row>
    <row r="76" spans="1:7" x14ac:dyDescent="0.3">
      <c r="A76" s="115" t="s">
        <v>259</v>
      </c>
      <c r="B76" s="144" t="s">
        <v>56</v>
      </c>
      <c r="C76" s="144"/>
      <c r="D76" s="111"/>
      <c r="E76" s="111"/>
      <c r="F76" s="111"/>
      <c r="G76" s="111"/>
    </row>
    <row r="77" spans="1:7" x14ac:dyDescent="0.3">
      <c r="A77" s="114" t="s">
        <v>261</v>
      </c>
      <c r="B77" s="145" t="s">
        <v>103</v>
      </c>
      <c r="C77" s="145"/>
      <c r="D77" s="106" t="s">
        <v>76</v>
      </c>
      <c r="E77" s="106">
        <f>'Avant métré'!M68</f>
        <v>10</v>
      </c>
      <c r="F77" s="106">
        <v>145000</v>
      </c>
      <c r="G77" s="106">
        <f>E77*F77</f>
        <v>1450000</v>
      </c>
    </row>
    <row r="78" spans="1:7" x14ac:dyDescent="0.3">
      <c r="A78" s="114" t="s">
        <v>262</v>
      </c>
      <c r="B78" s="145" t="s">
        <v>104</v>
      </c>
      <c r="C78" s="145"/>
      <c r="D78" s="106" t="s">
        <v>76</v>
      </c>
      <c r="E78" s="106">
        <f>'Avant métré'!M69</f>
        <v>5</v>
      </c>
      <c r="F78" s="106">
        <v>75000</v>
      </c>
      <c r="G78" s="106">
        <f>E78*F78</f>
        <v>375000</v>
      </c>
    </row>
    <row r="79" spans="1:7" x14ac:dyDescent="0.3">
      <c r="A79" s="115" t="s">
        <v>260</v>
      </c>
      <c r="B79" s="144" t="s">
        <v>165</v>
      </c>
      <c r="C79" s="144"/>
      <c r="D79" s="111"/>
      <c r="E79" s="111"/>
      <c r="F79" s="111"/>
      <c r="G79" s="111"/>
    </row>
    <row r="80" spans="1:7" x14ac:dyDescent="0.3">
      <c r="A80" s="114" t="s">
        <v>263</v>
      </c>
      <c r="B80" s="145" t="s">
        <v>103</v>
      </c>
      <c r="C80" s="145"/>
      <c r="D80" s="106" t="s">
        <v>76</v>
      </c>
      <c r="E80" s="106">
        <f>'Avant métré'!M71</f>
        <v>10</v>
      </c>
      <c r="F80" s="106">
        <v>90000</v>
      </c>
      <c r="G80" s="106">
        <f>E80*F80</f>
        <v>900000</v>
      </c>
    </row>
    <row r="81" spans="1:7" x14ac:dyDescent="0.3">
      <c r="A81" s="114" t="s">
        <v>264</v>
      </c>
      <c r="B81" s="145" t="s">
        <v>104</v>
      </c>
      <c r="C81" s="145"/>
      <c r="D81" s="106" t="s">
        <v>76</v>
      </c>
      <c r="E81" s="106">
        <f>'Avant métré'!M72</f>
        <v>5</v>
      </c>
      <c r="F81" s="106">
        <v>145000</v>
      </c>
      <c r="G81" s="106">
        <f>E81*F81</f>
        <v>725000</v>
      </c>
    </row>
    <row r="82" spans="1:7" x14ac:dyDescent="0.3">
      <c r="A82" s="168" t="s">
        <v>333</v>
      </c>
      <c r="B82" s="169"/>
      <c r="C82" s="169"/>
      <c r="D82" s="169"/>
      <c r="E82" s="169"/>
      <c r="F82" s="170"/>
      <c r="G82" s="129">
        <f>SUM(G77:G81)</f>
        <v>3450000</v>
      </c>
    </row>
    <row r="83" spans="1:7" ht="16.5" customHeight="1" x14ac:dyDescent="0.3">
      <c r="A83" s="112" t="s">
        <v>187</v>
      </c>
      <c r="B83" s="167" t="s">
        <v>186</v>
      </c>
      <c r="C83" s="167"/>
      <c r="D83" s="167"/>
      <c r="E83" s="167"/>
      <c r="F83" s="167"/>
      <c r="G83" s="167"/>
    </row>
    <row r="84" spans="1:7" x14ac:dyDescent="0.3">
      <c r="A84" s="115" t="s">
        <v>265</v>
      </c>
      <c r="B84" s="144" t="s">
        <v>56</v>
      </c>
      <c r="C84" s="144"/>
      <c r="D84" s="111"/>
      <c r="E84" s="111"/>
      <c r="F84" s="111"/>
      <c r="G84" s="111"/>
    </row>
    <row r="85" spans="1:7" x14ac:dyDescent="0.3">
      <c r="A85" s="114" t="s">
        <v>266</v>
      </c>
      <c r="B85" s="172" t="s">
        <v>100</v>
      </c>
      <c r="C85" s="172"/>
      <c r="D85" s="106" t="s">
        <v>76</v>
      </c>
      <c r="E85" s="106">
        <f>'Avant métré'!M75</f>
        <v>2</v>
      </c>
      <c r="F85" s="106">
        <v>190000</v>
      </c>
      <c r="G85" s="106">
        <f>E85*F85</f>
        <v>380000</v>
      </c>
    </row>
    <row r="86" spans="1:7" x14ac:dyDescent="0.3">
      <c r="A86" s="114" t="s">
        <v>267</v>
      </c>
      <c r="B86" s="172" t="s">
        <v>101</v>
      </c>
      <c r="C86" s="172"/>
      <c r="D86" s="106" t="s">
        <v>76</v>
      </c>
      <c r="E86" s="106">
        <f>'Avant métré'!M76</f>
        <v>6</v>
      </c>
      <c r="F86" s="106">
        <v>120000</v>
      </c>
      <c r="G86" s="106">
        <f t="shared" ref="G86:G91" si="4">E86*F86</f>
        <v>720000</v>
      </c>
    </row>
    <row r="87" spans="1:7" x14ac:dyDescent="0.3">
      <c r="A87" s="114" t="s">
        <v>268</v>
      </c>
      <c r="B87" s="172" t="s">
        <v>102</v>
      </c>
      <c r="C87" s="172"/>
      <c r="D87" s="106" t="s">
        <v>76</v>
      </c>
      <c r="E87" s="106">
        <f>'Avant métré'!M77</f>
        <v>5</v>
      </c>
      <c r="F87" s="106">
        <v>95000</v>
      </c>
      <c r="G87" s="106">
        <f t="shared" si="4"/>
        <v>475000</v>
      </c>
    </row>
    <row r="88" spans="1:7" x14ac:dyDescent="0.3">
      <c r="A88" s="115" t="s">
        <v>269</v>
      </c>
      <c r="B88" s="144" t="s">
        <v>165</v>
      </c>
      <c r="C88" s="144"/>
      <c r="D88" s="111"/>
      <c r="E88" s="111"/>
      <c r="F88" s="111"/>
      <c r="G88" s="111"/>
    </row>
    <row r="89" spans="1:7" x14ac:dyDescent="0.3">
      <c r="A89" s="114" t="s">
        <v>270</v>
      </c>
      <c r="B89" s="172" t="s">
        <v>100</v>
      </c>
      <c r="C89" s="172"/>
      <c r="D89" s="106" t="s">
        <v>76</v>
      </c>
      <c r="E89" s="106">
        <f>'Avant métré'!M79</f>
        <v>2</v>
      </c>
      <c r="F89" s="106">
        <v>190000</v>
      </c>
      <c r="G89" s="106">
        <f t="shared" si="4"/>
        <v>380000</v>
      </c>
    </row>
    <row r="90" spans="1:7" x14ac:dyDescent="0.3">
      <c r="A90" s="114" t="s">
        <v>271</v>
      </c>
      <c r="B90" s="172" t="s">
        <v>101</v>
      </c>
      <c r="C90" s="172"/>
      <c r="D90" s="106" t="s">
        <v>76</v>
      </c>
      <c r="E90" s="106">
        <f>'Avant métré'!M80</f>
        <v>6</v>
      </c>
      <c r="F90" s="106">
        <v>120000</v>
      </c>
      <c r="G90" s="106">
        <f t="shared" si="4"/>
        <v>720000</v>
      </c>
    </row>
    <row r="91" spans="1:7" x14ac:dyDescent="0.3">
      <c r="A91" s="114" t="s">
        <v>272</v>
      </c>
      <c r="B91" s="172" t="s">
        <v>102</v>
      </c>
      <c r="C91" s="172"/>
      <c r="D91" s="106" t="s">
        <v>76</v>
      </c>
      <c r="E91" s="106">
        <f>'Avant métré'!M81</f>
        <v>5</v>
      </c>
      <c r="F91" s="106">
        <v>95000</v>
      </c>
      <c r="G91" s="106">
        <f t="shared" si="4"/>
        <v>475000</v>
      </c>
    </row>
    <row r="92" spans="1:7" x14ac:dyDescent="0.3">
      <c r="A92" s="168" t="s">
        <v>334</v>
      </c>
      <c r="B92" s="169"/>
      <c r="C92" s="169"/>
      <c r="D92" s="169"/>
      <c r="E92" s="169"/>
      <c r="F92" s="170"/>
      <c r="G92" s="129">
        <f>SUM(G85:G91)</f>
        <v>3150000</v>
      </c>
    </row>
    <row r="93" spans="1:7" x14ac:dyDescent="0.3">
      <c r="A93" s="112" t="s">
        <v>190</v>
      </c>
      <c r="B93" s="167" t="s">
        <v>188</v>
      </c>
      <c r="C93" s="167"/>
      <c r="D93" s="167"/>
      <c r="E93" s="167"/>
      <c r="F93" s="167"/>
      <c r="G93" s="167"/>
    </row>
    <row r="94" spans="1:7" x14ac:dyDescent="0.3">
      <c r="A94" s="115"/>
      <c r="B94" s="144" t="s">
        <v>198</v>
      </c>
      <c r="C94" s="144"/>
      <c r="D94" s="111"/>
      <c r="E94" s="111"/>
      <c r="F94" s="111"/>
      <c r="G94" s="111"/>
    </row>
    <row r="95" spans="1:7" ht="18.600000000000001" x14ac:dyDescent="0.3">
      <c r="A95" s="106" t="s">
        <v>273</v>
      </c>
      <c r="B95" s="145" t="s">
        <v>189</v>
      </c>
      <c r="C95" s="145"/>
      <c r="D95" s="106" t="s">
        <v>320</v>
      </c>
      <c r="E95" s="106">
        <f>'Avant métré'!M84</f>
        <v>1.474704</v>
      </c>
      <c r="F95" s="106">
        <v>4200</v>
      </c>
      <c r="G95" s="133">
        <f>E95*F95</f>
        <v>6193.7568000000001</v>
      </c>
    </row>
    <row r="96" spans="1:7" ht="18.600000000000001" x14ac:dyDescent="0.3">
      <c r="A96" s="106" t="s">
        <v>280</v>
      </c>
      <c r="B96" s="145" t="s">
        <v>194</v>
      </c>
      <c r="C96" s="145"/>
      <c r="D96" s="106" t="s">
        <v>315</v>
      </c>
      <c r="E96" s="106">
        <f>'Avant métré'!M85</f>
        <v>148</v>
      </c>
      <c r="F96" s="106">
        <v>8500</v>
      </c>
      <c r="G96" s="133">
        <f>E96*F96</f>
        <v>1258000</v>
      </c>
    </row>
    <row r="97" spans="1:7" x14ac:dyDescent="0.3">
      <c r="A97" s="168" t="s">
        <v>335</v>
      </c>
      <c r="B97" s="169"/>
      <c r="C97" s="169"/>
      <c r="D97" s="169"/>
      <c r="E97" s="169"/>
      <c r="F97" s="170"/>
      <c r="G97" s="134">
        <f>SUM(G95:G96)</f>
        <v>1264193.7568000001</v>
      </c>
    </row>
    <row r="98" spans="1:7" x14ac:dyDescent="0.3">
      <c r="A98" s="112" t="s">
        <v>199</v>
      </c>
      <c r="B98" s="167" t="s">
        <v>191</v>
      </c>
      <c r="C98" s="167"/>
      <c r="D98" s="167"/>
      <c r="E98" s="167"/>
      <c r="F98" s="167"/>
      <c r="G98" s="167"/>
    </row>
    <row r="99" spans="1:7" x14ac:dyDescent="0.3">
      <c r="A99" s="111"/>
      <c r="B99" s="144" t="s">
        <v>198</v>
      </c>
      <c r="C99" s="144"/>
      <c r="D99" s="111"/>
      <c r="E99" s="111"/>
      <c r="F99" s="111"/>
      <c r="G99" s="111"/>
    </row>
    <row r="100" spans="1:7" ht="18.600000000000001" x14ac:dyDescent="0.3">
      <c r="A100" s="106" t="s">
        <v>274</v>
      </c>
      <c r="B100" s="145" t="s">
        <v>192</v>
      </c>
      <c r="C100" s="145"/>
      <c r="D100" s="106" t="s">
        <v>315</v>
      </c>
      <c r="E100" s="106">
        <f>'Avant métré'!M88</f>
        <v>580.91999999999996</v>
      </c>
      <c r="F100" s="106">
        <v>5000</v>
      </c>
      <c r="G100" s="133">
        <f>E100*F100</f>
        <v>2904600</v>
      </c>
    </row>
    <row r="101" spans="1:7" ht="18.600000000000001" x14ac:dyDescent="0.3">
      <c r="A101" s="106" t="s">
        <v>281</v>
      </c>
      <c r="B101" s="145" t="s">
        <v>195</v>
      </c>
      <c r="C101" s="145"/>
      <c r="D101" s="106" t="s">
        <v>315</v>
      </c>
      <c r="E101" s="106">
        <f>'Avant métré'!M89</f>
        <v>580.91999999999996</v>
      </c>
      <c r="F101" s="106">
        <v>8500</v>
      </c>
      <c r="G101" s="133">
        <f t="shared" ref="G101:G102" si="5">E101*F101</f>
        <v>4937820</v>
      </c>
    </row>
    <row r="102" spans="1:7" ht="18.600000000000001" x14ac:dyDescent="0.3">
      <c r="A102" s="106" t="s">
        <v>282</v>
      </c>
      <c r="B102" s="145" t="s">
        <v>193</v>
      </c>
      <c r="C102" s="145"/>
      <c r="D102" s="106" t="s">
        <v>315</v>
      </c>
      <c r="E102" s="106">
        <f>'Avant métré'!M90</f>
        <v>35.112000000000002</v>
      </c>
      <c r="F102" s="106">
        <v>3350</v>
      </c>
      <c r="G102" s="133">
        <f t="shared" si="5"/>
        <v>117625.20000000001</v>
      </c>
    </row>
    <row r="103" spans="1:7" x14ac:dyDescent="0.3">
      <c r="A103" s="168" t="s">
        <v>336</v>
      </c>
      <c r="B103" s="169"/>
      <c r="C103" s="169"/>
      <c r="D103" s="169"/>
      <c r="E103" s="169"/>
      <c r="F103" s="170"/>
      <c r="G103" s="134">
        <f>SUM(G100:G102)</f>
        <v>7960045.2000000002</v>
      </c>
    </row>
    <row r="104" spans="1:7" x14ac:dyDescent="0.3">
      <c r="A104" s="112" t="s">
        <v>200</v>
      </c>
      <c r="B104" s="167" t="s">
        <v>196</v>
      </c>
      <c r="C104" s="167"/>
      <c r="D104" s="167"/>
      <c r="E104" s="167"/>
      <c r="F104" s="167"/>
      <c r="G104" s="167"/>
    </row>
    <row r="105" spans="1:7" x14ac:dyDescent="0.3">
      <c r="A105" s="111"/>
      <c r="B105" s="144" t="s">
        <v>198</v>
      </c>
      <c r="C105" s="144"/>
      <c r="D105" s="111"/>
      <c r="E105" s="111"/>
      <c r="F105" s="111"/>
      <c r="G105" s="111"/>
    </row>
    <row r="106" spans="1:7" x14ac:dyDescent="0.3">
      <c r="A106" s="106" t="s">
        <v>275</v>
      </c>
      <c r="B106" s="145" t="s">
        <v>348</v>
      </c>
      <c r="C106" s="145"/>
      <c r="D106" s="106" t="s">
        <v>76</v>
      </c>
      <c r="E106" s="125">
        <f>'Avant métré'!M93</f>
        <v>158</v>
      </c>
      <c r="F106" s="106">
        <v>11500</v>
      </c>
      <c r="G106" s="106">
        <f t="shared" ref="G106:G107" si="6">E106*F106</f>
        <v>1817000</v>
      </c>
    </row>
    <row r="107" spans="1:7" ht="18.600000000000001" x14ac:dyDescent="0.3">
      <c r="A107" s="106" t="s">
        <v>283</v>
      </c>
      <c r="B107" s="145" t="s">
        <v>197</v>
      </c>
      <c r="C107" s="145"/>
      <c r="D107" s="106" t="s">
        <v>315</v>
      </c>
      <c r="E107" s="125">
        <f>'Avant métré'!M94</f>
        <v>7.9279999999999999</v>
      </c>
      <c r="F107" s="106">
        <v>2500</v>
      </c>
      <c r="G107" s="106">
        <f t="shared" si="6"/>
        <v>19820</v>
      </c>
    </row>
    <row r="108" spans="1:7" x14ac:dyDescent="0.3">
      <c r="A108" s="168" t="s">
        <v>337</v>
      </c>
      <c r="B108" s="169"/>
      <c r="C108" s="169"/>
      <c r="D108" s="169"/>
      <c r="E108" s="169"/>
      <c r="F108" s="170"/>
      <c r="G108" s="129">
        <f>SUM(G106:G107)</f>
        <v>1836820</v>
      </c>
    </row>
    <row r="109" spans="1:7" x14ac:dyDescent="0.3">
      <c r="A109" s="112" t="s">
        <v>201</v>
      </c>
      <c r="B109" s="167" t="s">
        <v>107</v>
      </c>
      <c r="C109" s="167"/>
      <c r="D109" s="167"/>
      <c r="E109" s="167"/>
      <c r="F109" s="167"/>
      <c r="G109" s="167"/>
    </row>
    <row r="110" spans="1:7" x14ac:dyDescent="0.3">
      <c r="A110" s="111"/>
      <c r="B110" s="144" t="s">
        <v>198</v>
      </c>
      <c r="C110" s="144"/>
      <c r="D110" s="111"/>
      <c r="E110" s="111"/>
      <c r="F110" s="111"/>
      <c r="G110" s="111"/>
    </row>
    <row r="111" spans="1:7" ht="18.600000000000001" x14ac:dyDescent="0.3">
      <c r="A111" s="106" t="s">
        <v>276</v>
      </c>
      <c r="B111" s="183" t="s">
        <v>323</v>
      </c>
      <c r="C111" s="183"/>
      <c r="D111" s="106" t="s">
        <v>315</v>
      </c>
      <c r="E111" s="106">
        <f>'Avant métré'!M97</f>
        <v>983.13599999999997</v>
      </c>
      <c r="F111" s="106">
        <v>2000</v>
      </c>
      <c r="G111" s="106">
        <f>E111*F111</f>
        <v>1966272</v>
      </c>
    </row>
    <row r="112" spans="1:7" ht="18.600000000000001" x14ac:dyDescent="0.3">
      <c r="A112" s="106" t="s">
        <v>284</v>
      </c>
      <c r="B112" s="183" t="s">
        <v>111</v>
      </c>
      <c r="C112" s="183"/>
      <c r="D112" s="106" t="s">
        <v>315</v>
      </c>
      <c r="E112" s="106">
        <f>'Avant métré'!M98</f>
        <v>130</v>
      </c>
      <c r="F112" s="106">
        <v>2000</v>
      </c>
      <c r="G112" s="106">
        <f t="shared" ref="G112:G114" si="7">E112*F112</f>
        <v>260000</v>
      </c>
    </row>
    <row r="113" spans="1:7" ht="18.600000000000001" x14ac:dyDescent="0.3">
      <c r="A113" s="106" t="s">
        <v>285</v>
      </c>
      <c r="B113" s="183" t="s">
        <v>112</v>
      </c>
      <c r="C113" s="183"/>
      <c r="D113" s="106" t="s">
        <v>315</v>
      </c>
      <c r="E113" s="106">
        <f>'Avant métré'!M99</f>
        <v>983.13599999999997</v>
      </c>
      <c r="F113" s="106">
        <v>2000</v>
      </c>
      <c r="G113" s="106">
        <f t="shared" si="7"/>
        <v>1966272</v>
      </c>
    </row>
    <row r="114" spans="1:7" ht="18.600000000000001" x14ac:dyDescent="0.3">
      <c r="A114" s="106" t="s">
        <v>286</v>
      </c>
      <c r="B114" s="183" t="s">
        <v>113</v>
      </c>
      <c r="C114" s="183"/>
      <c r="D114" s="106" t="s">
        <v>315</v>
      </c>
      <c r="E114" s="106">
        <f>'Avant métré'!M100</f>
        <v>580.91999999999996</v>
      </c>
      <c r="F114" s="106">
        <v>2000</v>
      </c>
      <c r="G114" s="106">
        <f t="shared" si="7"/>
        <v>1161840</v>
      </c>
    </row>
    <row r="115" spans="1:7" x14ac:dyDescent="0.3">
      <c r="A115" s="168" t="s">
        <v>338</v>
      </c>
      <c r="B115" s="169"/>
      <c r="C115" s="169"/>
      <c r="D115" s="169"/>
      <c r="E115" s="169"/>
      <c r="F115" s="170"/>
      <c r="G115" s="129">
        <f>SUM(G111:G114)</f>
        <v>5354384</v>
      </c>
    </row>
    <row r="116" spans="1:7" x14ac:dyDescent="0.3">
      <c r="A116" s="112" t="s">
        <v>202</v>
      </c>
      <c r="B116" s="167" t="s">
        <v>116</v>
      </c>
      <c r="C116" s="167"/>
      <c r="D116" s="167"/>
      <c r="E116" s="167"/>
      <c r="F116" s="167"/>
      <c r="G116" s="167"/>
    </row>
    <row r="117" spans="1:7" x14ac:dyDescent="0.3">
      <c r="A117" s="111"/>
      <c r="B117" s="144" t="s">
        <v>198</v>
      </c>
      <c r="C117" s="144"/>
      <c r="D117" s="111"/>
      <c r="E117" s="111"/>
      <c r="F117" s="111"/>
      <c r="G117" s="111"/>
    </row>
    <row r="118" spans="1:7" x14ac:dyDescent="0.3">
      <c r="A118" s="106" t="s">
        <v>277</v>
      </c>
      <c r="B118" s="183" t="s">
        <v>117</v>
      </c>
      <c r="C118" s="183"/>
      <c r="D118" s="106" t="s">
        <v>76</v>
      </c>
      <c r="E118" s="106">
        <f>'Avant métré'!M103</f>
        <v>4</v>
      </c>
      <c r="F118" s="106">
        <v>120000</v>
      </c>
      <c r="G118" s="106">
        <f>E118*F118</f>
        <v>480000</v>
      </c>
    </row>
    <row r="119" spans="1:7" x14ac:dyDescent="0.3">
      <c r="A119" s="106" t="s">
        <v>287</v>
      </c>
      <c r="B119" s="183" t="s">
        <v>118</v>
      </c>
      <c r="C119" s="183"/>
      <c r="D119" s="106" t="s">
        <v>76</v>
      </c>
      <c r="E119" s="106">
        <f>'Avant métré'!M104</f>
        <v>2</v>
      </c>
      <c r="F119" s="106">
        <v>120000</v>
      </c>
      <c r="G119" s="106">
        <f>E119*F119</f>
        <v>240000</v>
      </c>
    </row>
    <row r="120" spans="1:7" x14ac:dyDescent="0.3">
      <c r="A120" s="168" t="s">
        <v>339</v>
      </c>
      <c r="B120" s="169"/>
      <c r="C120" s="169"/>
      <c r="D120" s="169"/>
      <c r="E120" s="169"/>
      <c r="F120" s="170"/>
      <c r="G120" s="129">
        <f>SUM(G118:G119)</f>
        <v>720000</v>
      </c>
    </row>
    <row r="121" spans="1:7" x14ac:dyDescent="0.3">
      <c r="A121" s="112" t="s">
        <v>203</v>
      </c>
      <c r="B121" s="140" t="s">
        <v>121</v>
      </c>
      <c r="C121" s="141"/>
      <c r="D121" s="141"/>
      <c r="E121" s="141"/>
      <c r="F121" s="141"/>
      <c r="G121" s="142"/>
    </row>
    <row r="122" spans="1:7" x14ac:dyDescent="0.3">
      <c r="A122" s="111"/>
      <c r="B122" s="144" t="s">
        <v>198</v>
      </c>
      <c r="C122" s="144"/>
      <c r="D122" s="111"/>
      <c r="E122" s="111"/>
      <c r="F122" s="111"/>
      <c r="G122" s="111"/>
    </row>
    <row r="123" spans="1:7" x14ac:dyDescent="0.3">
      <c r="A123" s="106" t="s">
        <v>278</v>
      </c>
      <c r="B123" s="158" t="s">
        <v>122</v>
      </c>
      <c r="C123" s="158"/>
      <c r="D123" s="106"/>
      <c r="E123" s="106"/>
      <c r="F123" s="106">
        <v>2000000</v>
      </c>
      <c r="G123" s="106">
        <f>F123</f>
        <v>2000000</v>
      </c>
    </row>
    <row r="124" spans="1:7" x14ac:dyDescent="0.3">
      <c r="A124" s="106"/>
      <c r="B124" s="158"/>
      <c r="C124" s="158"/>
      <c r="D124" s="106"/>
      <c r="E124" s="106"/>
      <c r="F124" s="106"/>
      <c r="G124" s="106"/>
    </row>
    <row r="125" spans="1:7" x14ac:dyDescent="0.3">
      <c r="A125" s="168" t="s">
        <v>340</v>
      </c>
      <c r="B125" s="169"/>
      <c r="C125" s="169"/>
      <c r="D125" s="169"/>
      <c r="E125" s="169"/>
      <c r="F125" s="170"/>
      <c r="G125" s="129">
        <f>SUM(G123:G124)</f>
        <v>2000000</v>
      </c>
    </row>
    <row r="126" spans="1:7" x14ac:dyDescent="0.3">
      <c r="A126" s="112" t="s">
        <v>204</v>
      </c>
      <c r="B126" s="167" t="s">
        <v>324</v>
      </c>
      <c r="C126" s="167"/>
      <c r="D126" s="167"/>
      <c r="E126" s="167"/>
      <c r="F126" s="167"/>
      <c r="G126" s="167"/>
    </row>
    <row r="127" spans="1:7" x14ac:dyDescent="0.3">
      <c r="A127" s="111"/>
      <c r="B127" s="144" t="s">
        <v>198</v>
      </c>
      <c r="C127" s="144"/>
      <c r="D127" s="111"/>
      <c r="E127" s="111"/>
      <c r="F127" s="111"/>
      <c r="G127" s="111"/>
    </row>
    <row r="128" spans="1:7" x14ac:dyDescent="0.3">
      <c r="A128" s="119" t="s">
        <v>279</v>
      </c>
      <c r="B128" s="174" t="s">
        <v>344</v>
      </c>
      <c r="C128" s="174"/>
      <c r="D128" s="130" t="s">
        <v>76</v>
      </c>
      <c r="E128" s="106">
        <f>'Avant métré'!M112</f>
        <v>6</v>
      </c>
      <c r="F128" s="106">
        <v>8000</v>
      </c>
      <c r="G128" s="106">
        <f>E128*F128</f>
        <v>48000</v>
      </c>
    </row>
    <row r="129" spans="1:7" x14ac:dyDescent="0.3">
      <c r="A129" s="119" t="s">
        <v>288</v>
      </c>
      <c r="B129" s="174" t="s">
        <v>345</v>
      </c>
      <c r="C129" s="174"/>
      <c r="D129" s="130" t="s">
        <v>76</v>
      </c>
      <c r="E129" s="106">
        <f>'Avant métré'!M113</f>
        <v>14</v>
      </c>
      <c r="F129" s="106">
        <v>9000</v>
      </c>
      <c r="G129" s="106">
        <f t="shared" ref="G129:G152" si="8">E129*F129</f>
        <v>126000</v>
      </c>
    </row>
    <row r="130" spans="1:7" x14ac:dyDescent="0.3">
      <c r="A130" s="119" t="s">
        <v>289</v>
      </c>
      <c r="B130" s="174" t="s">
        <v>346</v>
      </c>
      <c r="C130" s="174"/>
      <c r="D130" s="130" t="s">
        <v>76</v>
      </c>
      <c r="E130" s="106">
        <f>'Avant métré'!M114</f>
        <v>12</v>
      </c>
      <c r="F130" s="106">
        <v>12000</v>
      </c>
      <c r="G130" s="106">
        <f t="shared" si="8"/>
        <v>144000</v>
      </c>
    </row>
    <row r="131" spans="1:7" x14ac:dyDescent="0.3">
      <c r="A131" s="119" t="s">
        <v>290</v>
      </c>
      <c r="B131" s="174" t="s">
        <v>131</v>
      </c>
      <c r="C131" s="174"/>
      <c r="D131" s="130" t="s">
        <v>76</v>
      </c>
      <c r="E131" s="106">
        <f>'Avant métré'!M115</f>
        <v>12</v>
      </c>
      <c r="F131" s="106">
        <v>14000</v>
      </c>
      <c r="G131" s="106">
        <f t="shared" si="8"/>
        <v>168000</v>
      </c>
    </row>
    <row r="132" spans="1:7" x14ac:dyDescent="0.3">
      <c r="A132" s="119" t="s">
        <v>291</v>
      </c>
      <c r="B132" s="174" t="s">
        <v>347</v>
      </c>
      <c r="C132" s="174"/>
      <c r="D132" s="130" t="s">
        <v>76</v>
      </c>
      <c r="E132" s="106">
        <f>'Avant métré'!M116</f>
        <v>16</v>
      </c>
      <c r="F132" s="106">
        <v>12000</v>
      </c>
      <c r="G132" s="106">
        <f t="shared" si="8"/>
        <v>192000</v>
      </c>
    </row>
    <row r="133" spans="1:7" x14ac:dyDescent="0.3">
      <c r="A133" s="119" t="s">
        <v>292</v>
      </c>
      <c r="B133" s="184" t="s">
        <v>133</v>
      </c>
      <c r="C133" s="184"/>
      <c r="D133" s="130" t="s">
        <v>76</v>
      </c>
      <c r="E133" s="106">
        <f>'Avant métré'!M117</f>
        <v>6</v>
      </c>
      <c r="F133" s="106"/>
      <c r="G133" s="106">
        <f t="shared" si="8"/>
        <v>0</v>
      </c>
    </row>
    <row r="134" spans="1:7" ht="18.600000000000001" x14ac:dyDescent="0.3">
      <c r="A134" s="119" t="s">
        <v>293</v>
      </c>
      <c r="B134" s="174" t="s">
        <v>134</v>
      </c>
      <c r="C134" s="174"/>
      <c r="D134" s="106" t="s">
        <v>320</v>
      </c>
      <c r="E134" s="106">
        <f>'Avant métré'!M118</f>
        <v>7</v>
      </c>
      <c r="F134" s="106"/>
      <c r="G134" s="106">
        <f t="shared" si="8"/>
        <v>0</v>
      </c>
    </row>
    <row r="135" spans="1:7" ht="18.600000000000001" x14ac:dyDescent="0.3">
      <c r="A135" s="119" t="s">
        <v>294</v>
      </c>
      <c r="B135" s="174" t="s">
        <v>136</v>
      </c>
      <c r="C135" s="174"/>
      <c r="D135" s="106" t="s">
        <v>315</v>
      </c>
      <c r="E135" s="106">
        <f>'Avant métré'!M119</f>
        <v>10</v>
      </c>
      <c r="F135" s="106">
        <v>11000</v>
      </c>
      <c r="G135" s="106">
        <f t="shared" si="8"/>
        <v>110000</v>
      </c>
    </row>
    <row r="136" spans="1:7" x14ac:dyDescent="0.3">
      <c r="A136" s="119" t="s">
        <v>295</v>
      </c>
      <c r="B136" s="174" t="s">
        <v>137</v>
      </c>
      <c r="C136" s="174"/>
      <c r="D136" s="130" t="s">
        <v>76</v>
      </c>
      <c r="E136" s="106">
        <f>'Avant métré'!M120</f>
        <v>133</v>
      </c>
      <c r="F136" s="106">
        <v>500</v>
      </c>
      <c r="G136" s="106">
        <f t="shared" si="8"/>
        <v>66500</v>
      </c>
    </row>
    <row r="137" spans="1:7" x14ac:dyDescent="0.3">
      <c r="A137" s="119" t="s">
        <v>296</v>
      </c>
      <c r="B137" s="174" t="s">
        <v>138</v>
      </c>
      <c r="C137" s="174"/>
      <c r="D137" s="130" t="s">
        <v>139</v>
      </c>
      <c r="E137" s="106">
        <f>'Avant métré'!M121</f>
        <v>7</v>
      </c>
      <c r="F137" s="106">
        <v>7500</v>
      </c>
      <c r="G137" s="106">
        <f t="shared" si="8"/>
        <v>52500</v>
      </c>
    </row>
    <row r="138" spans="1:7" x14ac:dyDescent="0.3">
      <c r="A138" s="119" t="s">
        <v>297</v>
      </c>
      <c r="B138" s="174" t="s">
        <v>140</v>
      </c>
      <c r="C138" s="174"/>
      <c r="D138" s="130" t="s">
        <v>76</v>
      </c>
      <c r="E138" s="106">
        <f>'Avant métré'!M122</f>
        <v>75</v>
      </c>
      <c r="F138" s="106">
        <v>7000</v>
      </c>
      <c r="G138" s="106">
        <f t="shared" si="8"/>
        <v>525000</v>
      </c>
    </row>
    <row r="139" spans="1:7" ht="16.8" x14ac:dyDescent="0.3">
      <c r="A139" s="119" t="s">
        <v>298</v>
      </c>
      <c r="B139" s="184" t="s">
        <v>141</v>
      </c>
      <c r="C139" s="184"/>
      <c r="D139" s="130" t="s">
        <v>343</v>
      </c>
      <c r="E139" s="106">
        <f>'Avant métré'!M123</f>
        <v>0</v>
      </c>
      <c r="F139" s="106"/>
      <c r="G139" s="106">
        <f t="shared" si="8"/>
        <v>0</v>
      </c>
    </row>
    <row r="140" spans="1:7" x14ac:dyDescent="0.3">
      <c r="A140" s="119" t="s">
        <v>299</v>
      </c>
      <c r="B140" s="174" t="s">
        <v>140</v>
      </c>
      <c r="C140" s="174"/>
      <c r="D140" s="130" t="s">
        <v>76</v>
      </c>
      <c r="E140" s="106">
        <f>'Avant métré'!M124</f>
        <v>3</v>
      </c>
      <c r="F140" s="106">
        <v>7000</v>
      </c>
      <c r="G140" s="106">
        <f t="shared" si="8"/>
        <v>21000</v>
      </c>
    </row>
    <row r="141" spans="1:7" x14ac:dyDescent="0.3">
      <c r="A141" s="119" t="s">
        <v>300</v>
      </c>
      <c r="B141" s="174" t="s">
        <v>143</v>
      </c>
      <c r="C141" s="174"/>
      <c r="D141" s="130" t="s">
        <v>139</v>
      </c>
      <c r="E141" s="106">
        <f>'Avant métré'!M125</f>
        <v>0</v>
      </c>
      <c r="F141" s="106">
        <v>15000</v>
      </c>
      <c r="G141" s="106">
        <f t="shared" si="8"/>
        <v>0</v>
      </c>
    </row>
    <row r="142" spans="1:7" x14ac:dyDescent="0.3">
      <c r="A142" s="119" t="s">
        <v>301</v>
      </c>
      <c r="B142" s="174" t="s">
        <v>144</v>
      </c>
      <c r="C142" s="174"/>
      <c r="D142" s="130" t="s">
        <v>87</v>
      </c>
      <c r="E142" s="106">
        <f>'Avant métré'!M126</f>
        <v>28</v>
      </c>
      <c r="F142" s="106">
        <v>3500</v>
      </c>
      <c r="G142" s="106">
        <f t="shared" si="8"/>
        <v>98000</v>
      </c>
    </row>
    <row r="143" spans="1:7" x14ac:dyDescent="0.3">
      <c r="A143" s="119" t="s">
        <v>302</v>
      </c>
      <c r="B143" s="174" t="s">
        <v>138</v>
      </c>
      <c r="C143" s="174"/>
      <c r="D143" s="130" t="s">
        <v>139</v>
      </c>
      <c r="E143" s="106">
        <f>'Avant métré'!M127</f>
        <v>0</v>
      </c>
      <c r="F143" s="106">
        <v>7500</v>
      </c>
      <c r="G143" s="106">
        <f t="shared" si="8"/>
        <v>0</v>
      </c>
    </row>
    <row r="144" spans="1:7" ht="18.600000000000001" x14ac:dyDescent="0.3">
      <c r="A144" s="119" t="s">
        <v>303</v>
      </c>
      <c r="B144" s="174" t="s">
        <v>145</v>
      </c>
      <c r="C144" s="174"/>
      <c r="D144" s="106" t="s">
        <v>315</v>
      </c>
      <c r="E144" s="106">
        <f>'Avant métré'!M128</f>
        <v>3</v>
      </c>
      <c r="F144" s="106">
        <v>5000</v>
      </c>
      <c r="G144" s="106">
        <f t="shared" si="8"/>
        <v>15000</v>
      </c>
    </row>
    <row r="145" spans="1:7" x14ac:dyDescent="0.3">
      <c r="A145" s="119" t="s">
        <v>304</v>
      </c>
      <c r="B145" s="172" t="s">
        <v>146</v>
      </c>
      <c r="C145" s="172"/>
      <c r="D145" s="131" t="s">
        <v>87</v>
      </c>
      <c r="E145" s="106">
        <f>'Avant métré'!M129</f>
        <v>10</v>
      </c>
      <c r="F145" s="106">
        <v>2000</v>
      </c>
      <c r="G145" s="106">
        <f t="shared" si="8"/>
        <v>20000</v>
      </c>
    </row>
    <row r="146" spans="1:7" x14ac:dyDescent="0.3">
      <c r="A146" s="119" t="s">
        <v>305</v>
      </c>
      <c r="B146" s="172" t="s">
        <v>147</v>
      </c>
      <c r="C146" s="172"/>
      <c r="D146" s="131" t="s">
        <v>76</v>
      </c>
      <c r="E146" s="106">
        <f>'Avant métré'!M130</f>
        <v>2</v>
      </c>
      <c r="F146" s="106">
        <v>4000</v>
      </c>
      <c r="G146" s="106">
        <f t="shared" si="8"/>
        <v>8000</v>
      </c>
    </row>
    <row r="147" spans="1:7" x14ac:dyDescent="0.3">
      <c r="A147" s="119" t="s">
        <v>306</v>
      </c>
      <c r="B147" s="173" t="s">
        <v>148</v>
      </c>
      <c r="C147" s="173"/>
      <c r="D147" s="131"/>
      <c r="E147" s="106"/>
      <c r="F147" s="106"/>
      <c r="G147" s="106">
        <f t="shared" si="8"/>
        <v>0</v>
      </c>
    </row>
    <row r="148" spans="1:7" x14ac:dyDescent="0.3">
      <c r="A148" s="119" t="s">
        <v>307</v>
      </c>
      <c r="B148" s="172" t="s">
        <v>149</v>
      </c>
      <c r="C148" s="172"/>
      <c r="D148" s="131" t="s">
        <v>76</v>
      </c>
      <c r="E148" s="106">
        <f>'Avant métré'!M132</f>
        <v>5</v>
      </c>
      <c r="F148" s="106"/>
      <c r="G148" s="106">
        <f t="shared" si="8"/>
        <v>0</v>
      </c>
    </row>
    <row r="149" spans="1:7" x14ac:dyDescent="0.3">
      <c r="A149" s="119" t="s">
        <v>308</v>
      </c>
      <c r="B149" s="172" t="s">
        <v>150</v>
      </c>
      <c r="C149" s="172"/>
      <c r="D149" s="131" t="s">
        <v>76</v>
      </c>
      <c r="E149" s="106">
        <f>'Avant métré'!M133</f>
        <v>1</v>
      </c>
      <c r="F149" s="106"/>
      <c r="G149" s="106">
        <f t="shared" si="8"/>
        <v>0</v>
      </c>
    </row>
    <row r="150" spans="1:7" x14ac:dyDescent="0.3">
      <c r="A150" s="119" t="s">
        <v>309</v>
      </c>
      <c r="B150" s="172" t="s">
        <v>151</v>
      </c>
      <c r="C150" s="172"/>
      <c r="D150" s="131" t="s">
        <v>76</v>
      </c>
      <c r="E150" s="106">
        <f>'Avant métré'!M134</f>
        <v>5</v>
      </c>
      <c r="F150" s="106"/>
      <c r="G150" s="106">
        <f t="shared" si="8"/>
        <v>0</v>
      </c>
    </row>
    <row r="151" spans="1:7" x14ac:dyDescent="0.3">
      <c r="A151" s="119" t="s">
        <v>310</v>
      </c>
      <c r="B151" s="173" t="s">
        <v>152</v>
      </c>
      <c r="C151" s="173"/>
      <c r="D151" s="131"/>
      <c r="E151" s="106">
        <f>'Avant métré'!M135</f>
        <v>0</v>
      </c>
      <c r="F151" s="106"/>
      <c r="G151" s="106">
        <f t="shared" si="8"/>
        <v>0</v>
      </c>
    </row>
    <row r="152" spans="1:7" x14ac:dyDescent="0.3">
      <c r="A152" s="119" t="s">
        <v>311</v>
      </c>
      <c r="B152" s="172" t="s">
        <v>153</v>
      </c>
      <c r="C152" s="172"/>
      <c r="D152" s="131" t="s">
        <v>87</v>
      </c>
      <c r="E152" s="106">
        <f>'Avant métré'!M136</f>
        <v>0</v>
      </c>
      <c r="F152" s="106"/>
      <c r="G152" s="106">
        <f t="shared" si="8"/>
        <v>0</v>
      </c>
    </row>
    <row r="153" spans="1:7" x14ac:dyDescent="0.3">
      <c r="A153" s="127"/>
      <c r="B153" s="185" t="s">
        <v>355</v>
      </c>
      <c r="C153" s="185"/>
      <c r="D153" s="185"/>
      <c r="E153" s="185"/>
      <c r="F153" s="186"/>
      <c r="G153" s="106">
        <v>2000000</v>
      </c>
    </row>
    <row r="154" spans="1:7" x14ac:dyDescent="0.3">
      <c r="A154" s="168" t="s">
        <v>341</v>
      </c>
      <c r="B154" s="169"/>
      <c r="C154" s="169"/>
      <c r="D154" s="169"/>
      <c r="E154" s="169"/>
      <c r="F154" s="170"/>
      <c r="G154" s="129">
        <f>G153</f>
        <v>2000000</v>
      </c>
    </row>
    <row r="155" spans="1:7" s="126" customFormat="1" x14ac:dyDescent="0.3">
      <c r="A155" s="113" t="s">
        <v>350</v>
      </c>
      <c r="B155" s="167" t="s">
        <v>349</v>
      </c>
      <c r="C155" s="167"/>
      <c r="D155" s="167"/>
      <c r="E155" s="167"/>
      <c r="F155" s="167"/>
      <c r="G155" s="167"/>
    </row>
    <row r="156" spans="1:7" s="126" customFormat="1" x14ac:dyDescent="0.3">
      <c r="A156" s="119" t="s">
        <v>353</v>
      </c>
      <c r="B156" s="187" t="s">
        <v>351</v>
      </c>
      <c r="C156" s="187"/>
      <c r="D156" s="119" t="s">
        <v>21</v>
      </c>
      <c r="E156" s="119"/>
      <c r="F156" s="119">
        <v>500000</v>
      </c>
      <c r="G156" s="119">
        <f>F156</f>
        <v>500000</v>
      </c>
    </row>
    <row r="157" spans="1:7" s="126" customFormat="1" x14ac:dyDescent="0.3">
      <c r="A157" s="168" t="s">
        <v>352</v>
      </c>
      <c r="B157" s="169"/>
      <c r="C157" s="169"/>
      <c r="D157" s="169"/>
      <c r="E157" s="169"/>
      <c r="F157" s="170"/>
      <c r="G157" s="129">
        <f>SUM(G156:G156)</f>
        <v>500000</v>
      </c>
    </row>
    <row r="158" spans="1:7" x14ac:dyDescent="0.3">
      <c r="A158" s="179"/>
      <c r="B158" s="180"/>
      <c r="C158" s="180"/>
      <c r="D158" s="180"/>
      <c r="E158" s="180"/>
      <c r="F158" s="180"/>
      <c r="G158" s="181"/>
    </row>
    <row r="159" spans="1:7" x14ac:dyDescent="0.3">
      <c r="A159" s="175" t="s">
        <v>327</v>
      </c>
      <c r="B159" s="176"/>
      <c r="C159" s="176"/>
      <c r="D159" s="176"/>
      <c r="E159" s="176"/>
      <c r="F159" s="177"/>
      <c r="G159" s="132">
        <f>G10+G18+G34+G70+G74+G82+G92+G97+G103+G108+G115+G120+G125+G154+G157</f>
        <v>198078141.2674</v>
      </c>
    </row>
    <row r="160" spans="1:7" x14ac:dyDescent="0.3">
      <c r="A160" s="175" t="s">
        <v>156</v>
      </c>
      <c r="B160" s="176"/>
      <c r="C160" s="176"/>
      <c r="D160" s="176"/>
      <c r="E160" s="176"/>
      <c r="F160" s="177"/>
      <c r="G160" s="133">
        <f>0.06*G159</f>
        <v>11884688.476043999</v>
      </c>
    </row>
    <row r="161" spans="1:7" x14ac:dyDescent="0.3">
      <c r="A161" s="175" t="s">
        <v>328</v>
      </c>
      <c r="B161" s="176"/>
      <c r="C161" s="176"/>
      <c r="D161" s="176"/>
      <c r="E161" s="176"/>
      <c r="F161" s="177"/>
      <c r="G161" s="133">
        <f>0.05*G159</f>
        <v>9903907.0633700006</v>
      </c>
    </row>
    <row r="162" spans="1:7" x14ac:dyDescent="0.3">
      <c r="A162" s="178" t="s">
        <v>354</v>
      </c>
      <c r="B162" s="178"/>
      <c r="C162" s="178"/>
      <c r="D162" s="178"/>
      <c r="E162" s="178"/>
      <c r="F162" s="178"/>
      <c r="G162" s="135">
        <f>SUM(G159:G161)</f>
        <v>219866736.80681399</v>
      </c>
    </row>
    <row r="163" spans="1:7" x14ac:dyDescent="0.3">
      <c r="B163" s="162"/>
      <c r="C163" s="162"/>
    </row>
    <row r="164" spans="1:7" x14ac:dyDescent="0.3">
      <c r="B164" s="162"/>
      <c r="C164" s="162"/>
    </row>
    <row r="165" spans="1:7" x14ac:dyDescent="0.3">
      <c r="B165" s="162"/>
      <c r="C165" s="162"/>
    </row>
    <row r="166" spans="1:7" x14ac:dyDescent="0.3">
      <c r="B166" s="162"/>
      <c r="C166" s="162"/>
    </row>
    <row r="167" spans="1:7" x14ac:dyDescent="0.3">
      <c r="B167" s="162"/>
      <c r="C167" s="162"/>
    </row>
    <row r="168" spans="1:7" x14ac:dyDescent="0.3">
      <c r="B168" s="162"/>
      <c r="C168" s="162"/>
    </row>
    <row r="169" spans="1:7" x14ac:dyDescent="0.3">
      <c r="B169" s="162"/>
      <c r="C169" s="162"/>
    </row>
    <row r="170" spans="1:7" x14ac:dyDescent="0.3">
      <c r="B170" s="162"/>
      <c r="C170" s="162"/>
    </row>
    <row r="171" spans="1:7" x14ac:dyDescent="0.3">
      <c r="B171" s="162"/>
      <c r="C171" s="162"/>
    </row>
    <row r="172" spans="1:7" x14ac:dyDescent="0.3">
      <c r="B172" s="162"/>
      <c r="C172" s="162"/>
    </row>
    <row r="173" spans="1:7" x14ac:dyDescent="0.3">
      <c r="B173" s="162"/>
      <c r="C173" s="162"/>
    </row>
    <row r="174" spans="1:7" x14ac:dyDescent="0.3">
      <c r="B174" s="162"/>
      <c r="C174" s="162"/>
    </row>
    <row r="175" spans="1:7" x14ac:dyDescent="0.3">
      <c r="B175" s="162"/>
      <c r="C175" s="162"/>
    </row>
    <row r="176" spans="1:7" x14ac:dyDescent="0.3">
      <c r="B176" s="162"/>
      <c r="C176" s="162"/>
    </row>
    <row r="177" spans="2:3" x14ac:dyDescent="0.3">
      <c r="B177" s="162"/>
      <c r="C177" s="162"/>
    </row>
    <row r="178" spans="2:3" x14ac:dyDescent="0.3">
      <c r="B178" s="162"/>
      <c r="C178" s="162"/>
    </row>
    <row r="179" spans="2:3" x14ac:dyDescent="0.3">
      <c r="B179" s="162"/>
      <c r="C179" s="162"/>
    </row>
    <row r="180" spans="2:3" x14ac:dyDescent="0.3">
      <c r="B180" s="162"/>
      <c r="C180" s="162"/>
    </row>
    <row r="181" spans="2:3" x14ac:dyDescent="0.3">
      <c r="B181" s="162"/>
      <c r="C181" s="162"/>
    </row>
    <row r="182" spans="2:3" x14ac:dyDescent="0.3">
      <c r="B182" s="162"/>
      <c r="C182" s="162"/>
    </row>
    <row r="183" spans="2:3" x14ac:dyDescent="0.3">
      <c r="B183" s="162"/>
      <c r="C183" s="162"/>
    </row>
    <row r="184" spans="2:3" x14ac:dyDescent="0.3">
      <c r="B184" s="162"/>
      <c r="C184" s="162"/>
    </row>
    <row r="185" spans="2:3" x14ac:dyDescent="0.3">
      <c r="B185" s="162"/>
      <c r="C185" s="162"/>
    </row>
    <row r="186" spans="2:3" x14ac:dyDescent="0.3">
      <c r="B186" s="162"/>
      <c r="C186" s="162"/>
    </row>
    <row r="187" spans="2:3" x14ac:dyDescent="0.3">
      <c r="B187" s="162"/>
      <c r="C187" s="162"/>
    </row>
    <row r="188" spans="2:3" x14ac:dyDescent="0.3">
      <c r="B188" s="162"/>
      <c r="C188" s="162"/>
    </row>
    <row r="189" spans="2:3" x14ac:dyDescent="0.3">
      <c r="B189" s="162"/>
      <c r="C189" s="162"/>
    </row>
    <row r="190" spans="2:3" x14ac:dyDescent="0.3">
      <c r="B190" s="162"/>
      <c r="C190" s="162"/>
    </row>
    <row r="191" spans="2:3" x14ac:dyDescent="0.3">
      <c r="B191" s="162"/>
      <c r="C191" s="162"/>
    </row>
  </sheetData>
  <mergeCells count="192">
    <mergeCell ref="B121:G121"/>
    <mergeCell ref="A159:F159"/>
    <mergeCell ref="A160:F160"/>
    <mergeCell ref="B139:C139"/>
    <mergeCell ref="B128:C128"/>
    <mergeCell ref="B129:C129"/>
    <mergeCell ref="B130:C130"/>
    <mergeCell ref="B131:C131"/>
    <mergeCell ref="B132:C132"/>
    <mergeCell ref="B133:C133"/>
    <mergeCell ref="B122:C122"/>
    <mergeCell ref="B123:C123"/>
    <mergeCell ref="B124:C124"/>
    <mergeCell ref="B127:C127"/>
    <mergeCell ref="B126:G126"/>
    <mergeCell ref="A125:F125"/>
    <mergeCell ref="B134:C134"/>
    <mergeCell ref="B135:C135"/>
    <mergeCell ref="B136:C136"/>
    <mergeCell ref="B137:C137"/>
    <mergeCell ref="B138:C138"/>
    <mergeCell ref="B153:F153"/>
    <mergeCell ref="B155:G155"/>
    <mergeCell ref="B156:C156"/>
    <mergeCell ref="B119:C119"/>
    <mergeCell ref="A115:F115"/>
    <mergeCell ref="A120:F120"/>
    <mergeCell ref="B107:C107"/>
    <mergeCell ref="B110:C110"/>
    <mergeCell ref="B111:C111"/>
    <mergeCell ref="B112:C112"/>
    <mergeCell ref="B113:C113"/>
    <mergeCell ref="A108:F108"/>
    <mergeCell ref="B109:G109"/>
    <mergeCell ref="B116:G116"/>
    <mergeCell ref="A82:F82"/>
    <mergeCell ref="A92:F92"/>
    <mergeCell ref="A97:F97"/>
    <mergeCell ref="A103:F103"/>
    <mergeCell ref="B114:C114"/>
    <mergeCell ref="B117:C117"/>
    <mergeCell ref="B118:C118"/>
    <mergeCell ref="B101:C101"/>
    <mergeCell ref="B188:C188"/>
    <mergeCell ref="B189:C189"/>
    <mergeCell ref="B190:C190"/>
    <mergeCell ref="B191:C191"/>
    <mergeCell ref="B7:C7"/>
    <mergeCell ref="B8:C8"/>
    <mergeCell ref="B9:C9"/>
    <mergeCell ref="B182:C182"/>
    <mergeCell ref="B183:C183"/>
    <mergeCell ref="B184:C184"/>
    <mergeCell ref="B185:C185"/>
    <mergeCell ref="B186:C186"/>
    <mergeCell ref="B187:C187"/>
    <mergeCell ref="B176:C176"/>
    <mergeCell ref="B177:C177"/>
    <mergeCell ref="B178:C178"/>
    <mergeCell ref="B179:C179"/>
    <mergeCell ref="B180:C180"/>
    <mergeCell ref="B181:C181"/>
    <mergeCell ref="A157:F157"/>
    <mergeCell ref="A154:F154"/>
    <mergeCell ref="B93:G93"/>
    <mergeCell ref="B98:G98"/>
    <mergeCell ref="B104:G104"/>
    <mergeCell ref="B170:C170"/>
    <mergeCell ref="B171:C171"/>
    <mergeCell ref="B172:C172"/>
    <mergeCell ref="B173:C173"/>
    <mergeCell ref="B174:C174"/>
    <mergeCell ref="B175:C175"/>
    <mergeCell ref="B164:C164"/>
    <mergeCell ref="B165:C165"/>
    <mergeCell ref="B166:C166"/>
    <mergeCell ref="B167:C167"/>
    <mergeCell ref="B168:C168"/>
    <mergeCell ref="B169:C169"/>
    <mergeCell ref="B163:C163"/>
    <mergeCell ref="B146:C146"/>
    <mergeCell ref="B147:C147"/>
    <mergeCell ref="B148:C148"/>
    <mergeCell ref="B149:C149"/>
    <mergeCell ref="B150:C150"/>
    <mergeCell ref="B151:C151"/>
    <mergeCell ref="B140:C140"/>
    <mergeCell ref="B141:C141"/>
    <mergeCell ref="B142:C142"/>
    <mergeCell ref="B143:C143"/>
    <mergeCell ref="B144:C144"/>
    <mergeCell ref="B145:C145"/>
    <mergeCell ref="A161:F161"/>
    <mergeCell ref="A162:F162"/>
    <mergeCell ref="B152:C152"/>
    <mergeCell ref="A158:G158"/>
    <mergeCell ref="B102:C102"/>
    <mergeCell ref="B105:C105"/>
    <mergeCell ref="B106:C106"/>
    <mergeCell ref="B94:C94"/>
    <mergeCell ref="B95:C95"/>
    <mergeCell ref="B96:C96"/>
    <mergeCell ref="B99:C99"/>
    <mergeCell ref="B100:C100"/>
    <mergeCell ref="B87:C87"/>
    <mergeCell ref="B88:C88"/>
    <mergeCell ref="B89:C89"/>
    <mergeCell ref="B90:C90"/>
    <mergeCell ref="B91:C91"/>
    <mergeCell ref="B80:C80"/>
    <mergeCell ref="B81:C81"/>
    <mergeCell ref="B84:C84"/>
    <mergeCell ref="B85:C85"/>
    <mergeCell ref="B86:C86"/>
    <mergeCell ref="B83:G83"/>
    <mergeCell ref="B73:C73"/>
    <mergeCell ref="B76:C76"/>
    <mergeCell ref="B77:C77"/>
    <mergeCell ref="B78:C78"/>
    <mergeCell ref="B79:C79"/>
    <mergeCell ref="B75:G75"/>
    <mergeCell ref="B66:C66"/>
    <mergeCell ref="B67:C67"/>
    <mergeCell ref="B68:C68"/>
    <mergeCell ref="B69:C69"/>
    <mergeCell ref="B72:C72"/>
    <mergeCell ref="B71:G71"/>
    <mergeCell ref="A70:F70"/>
    <mergeCell ref="A74:F74"/>
    <mergeCell ref="B60:C60"/>
    <mergeCell ref="B61:C61"/>
    <mergeCell ref="B62:C62"/>
    <mergeCell ref="B63:C63"/>
    <mergeCell ref="B64:C64"/>
    <mergeCell ref="B65:C65"/>
    <mergeCell ref="B54:C54"/>
    <mergeCell ref="B55:C55"/>
    <mergeCell ref="B56:C56"/>
    <mergeCell ref="B57:C57"/>
    <mergeCell ref="B58:C58"/>
    <mergeCell ref="B59:C59"/>
    <mergeCell ref="B48:C48"/>
    <mergeCell ref="B49:C49"/>
    <mergeCell ref="B50:C50"/>
    <mergeCell ref="B51:C51"/>
    <mergeCell ref="B52:C52"/>
    <mergeCell ref="B53:C53"/>
    <mergeCell ref="B42:C42"/>
    <mergeCell ref="B43:C43"/>
    <mergeCell ref="B44:C44"/>
    <mergeCell ref="B45:C45"/>
    <mergeCell ref="B46:C46"/>
    <mergeCell ref="B47:C47"/>
    <mergeCell ref="B40:C40"/>
    <mergeCell ref="B41:C41"/>
    <mergeCell ref="D4:D5"/>
    <mergeCell ref="B33:C33"/>
    <mergeCell ref="B30:C30"/>
    <mergeCell ref="B31:C31"/>
    <mergeCell ref="B32:C32"/>
    <mergeCell ref="B24:C24"/>
    <mergeCell ref="B25:C25"/>
    <mergeCell ref="B26:C26"/>
    <mergeCell ref="B27:C27"/>
    <mergeCell ref="B28:C28"/>
    <mergeCell ref="B29:C29"/>
    <mergeCell ref="B17:C17"/>
    <mergeCell ref="B20:C20"/>
    <mergeCell ref="B21:C21"/>
    <mergeCell ref="B22:C22"/>
    <mergeCell ref="B23:C23"/>
    <mergeCell ref="A4:A5"/>
    <mergeCell ref="B4:C5"/>
    <mergeCell ref="B36:C36"/>
    <mergeCell ref="B37:C37"/>
    <mergeCell ref="B38:C38"/>
    <mergeCell ref="B39:C39"/>
    <mergeCell ref="B35:G35"/>
    <mergeCell ref="B12:C12"/>
    <mergeCell ref="B13:C13"/>
    <mergeCell ref="A10:F10"/>
    <mergeCell ref="B19:G19"/>
    <mergeCell ref="A18:F18"/>
    <mergeCell ref="A34:F34"/>
    <mergeCell ref="B14:C14"/>
    <mergeCell ref="B15:C15"/>
    <mergeCell ref="B16:C16"/>
    <mergeCell ref="E4:E5"/>
    <mergeCell ref="F4:F5"/>
    <mergeCell ref="G4:G5"/>
    <mergeCell ref="B6:G6"/>
    <mergeCell ref="B11:G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156"/>
  <sheetViews>
    <sheetView workbookViewId="0">
      <selection activeCell="D3" sqref="D3:F3"/>
    </sheetView>
  </sheetViews>
  <sheetFormatPr baseColWidth="10" defaultColWidth="10.77734375" defaultRowHeight="14.4" x14ac:dyDescent="0.3"/>
  <cols>
    <col min="6" max="6" width="43.5546875" customWidth="1"/>
    <col min="9" max="9" width="14.109375" customWidth="1"/>
    <col min="10" max="10" width="20.5546875" customWidth="1"/>
  </cols>
  <sheetData>
    <row r="1" spans="3:12" ht="20.399999999999999" customHeight="1" x14ac:dyDescent="0.3">
      <c r="C1" s="200" t="s">
        <v>13</v>
      </c>
      <c r="D1" s="200"/>
      <c r="E1" s="200"/>
      <c r="F1" s="200"/>
      <c r="G1" s="200"/>
      <c r="H1" s="200"/>
      <c r="I1" s="200"/>
      <c r="J1" s="200"/>
    </row>
    <row r="2" spans="3:12" ht="15" thickBot="1" x14ac:dyDescent="0.35">
      <c r="I2" s="1"/>
    </row>
    <row r="3" spans="3:12" ht="41.4" thickBot="1" x14ac:dyDescent="0.35">
      <c r="C3" s="2" t="s">
        <v>14</v>
      </c>
      <c r="D3" s="201" t="s">
        <v>1</v>
      </c>
      <c r="E3" s="202"/>
      <c r="F3" s="203"/>
      <c r="G3" s="3" t="s">
        <v>3</v>
      </c>
      <c r="H3" s="4" t="s">
        <v>15</v>
      </c>
      <c r="I3" s="5" t="s">
        <v>16</v>
      </c>
      <c r="J3" s="5" t="s">
        <v>17</v>
      </c>
    </row>
    <row r="4" spans="3:12" ht="15" x14ac:dyDescent="0.3">
      <c r="C4" s="6" t="s">
        <v>18</v>
      </c>
      <c r="D4" s="204" t="s">
        <v>19</v>
      </c>
      <c r="E4" s="205"/>
      <c r="F4" s="206"/>
      <c r="G4" s="7"/>
      <c r="H4" s="8"/>
      <c r="I4" s="9"/>
      <c r="J4" s="10"/>
    </row>
    <row r="5" spans="3:12" x14ac:dyDescent="0.3">
      <c r="C5" s="11"/>
      <c r="D5" s="207" t="s">
        <v>20</v>
      </c>
      <c r="E5" s="208"/>
      <c r="F5" s="209"/>
      <c r="G5" s="12" t="s">
        <v>21</v>
      </c>
      <c r="H5" s="13" t="s">
        <v>22</v>
      </c>
      <c r="I5" s="14">
        <v>400000</v>
      </c>
      <c r="J5" s="15">
        <v>400000</v>
      </c>
    </row>
    <row r="6" spans="3:12" x14ac:dyDescent="0.3">
      <c r="C6" s="16"/>
      <c r="D6" s="207" t="s">
        <v>23</v>
      </c>
      <c r="E6" s="208"/>
      <c r="F6" s="209"/>
      <c r="G6" s="12" t="s">
        <v>21</v>
      </c>
      <c r="H6" s="13" t="s">
        <v>22</v>
      </c>
      <c r="I6" s="14"/>
      <c r="J6" s="15"/>
    </row>
    <row r="7" spans="3:12" x14ac:dyDescent="0.3">
      <c r="C7" s="16"/>
      <c r="D7" s="207" t="s">
        <v>24</v>
      </c>
      <c r="E7" s="208"/>
      <c r="F7" s="209"/>
      <c r="G7" s="12" t="s">
        <v>21</v>
      </c>
      <c r="H7" s="13" t="s">
        <v>22</v>
      </c>
      <c r="I7" s="14">
        <v>100000</v>
      </c>
      <c r="J7" s="15">
        <v>100000</v>
      </c>
    </row>
    <row r="8" spans="3:12" x14ac:dyDescent="0.3">
      <c r="C8" s="188" t="s">
        <v>25</v>
      </c>
      <c r="D8" s="189"/>
      <c r="E8" s="189"/>
      <c r="F8" s="189"/>
      <c r="G8" s="189"/>
      <c r="H8" s="190"/>
      <c r="I8" s="17"/>
      <c r="J8" s="18">
        <f>SUM(J5:J7)</f>
        <v>500000</v>
      </c>
    </row>
    <row r="9" spans="3:12" ht="15" x14ac:dyDescent="0.3">
      <c r="C9" s="19" t="s">
        <v>26</v>
      </c>
      <c r="D9" s="191" t="s">
        <v>27</v>
      </c>
      <c r="E9" s="192"/>
      <c r="F9" s="193"/>
      <c r="G9" s="20"/>
      <c r="H9" s="21"/>
      <c r="I9" s="22"/>
      <c r="J9" s="23"/>
    </row>
    <row r="10" spans="3:12" ht="15.6" x14ac:dyDescent="0.3">
      <c r="C10" s="24"/>
      <c r="D10" s="194" t="s">
        <v>28</v>
      </c>
      <c r="E10" s="195"/>
      <c r="F10" s="196"/>
      <c r="G10" s="12" t="s">
        <v>29</v>
      </c>
      <c r="H10" s="25">
        <f>(15.45+1*2)*(18.8+1*2)*0.1</f>
        <v>36.295999999999999</v>
      </c>
      <c r="I10" s="14">
        <v>8500</v>
      </c>
      <c r="J10" s="15">
        <f>H10*I10</f>
        <v>308516</v>
      </c>
    </row>
    <row r="11" spans="3:12" ht="16.8" x14ac:dyDescent="0.3">
      <c r="C11" s="24"/>
      <c r="D11" s="194" t="s">
        <v>30</v>
      </c>
      <c r="E11" s="195"/>
      <c r="F11" s="196"/>
      <c r="G11" s="12" t="s">
        <v>29</v>
      </c>
      <c r="H11" s="25">
        <f>0.45*0.5*175.56</f>
        <v>39.501000000000005</v>
      </c>
      <c r="I11" s="14">
        <v>14700</v>
      </c>
      <c r="J11" s="15">
        <f t="shared" ref="J11:J15" si="0">H11*I11</f>
        <v>580664.70000000007</v>
      </c>
      <c r="K11" t="s">
        <v>31</v>
      </c>
      <c r="L11">
        <f>68.5+11.47+19.3+6.5+9.65+4.14+14.37+9.5+14.38+4.8*2+6.8+0.45*3</f>
        <v>175.56</v>
      </c>
    </row>
    <row r="12" spans="3:12" ht="15.6" x14ac:dyDescent="0.3">
      <c r="C12" s="24"/>
      <c r="D12" s="194" t="s">
        <v>32</v>
      </c>
      <c r="E12" s="195"/>
      <c r="F12" s="196"/>
      <c r="G12" s="12" t="s">
        <v>29</v>
      </c>
      <c r="H12" s="25">
        <f>H11*1.5</f>
        <v>59.251500000000007</v>
      </c>
      <c r="I12" s="14">
        <v>6500</v>
      </c>
      <c r="J12" s="15">
        <f t="shared" si="0"/>
        <v>385134.75000000006</v>
      </c>
    </row>
    <row r="13" spans="3:12" ht="15.75" customHeight="1" x14ac:dyDescent="0.3">
      <c r="C13" s="24"/>
      <c r="D13" s="197" t="s">
        <v>33</v>
      </c>
      <c r="E13" s="198"/>
      <c r="F13" s="199"/>
      <c r="G13" s="12" t="s">
        <v>34</v>
      </c>
      <c r="H13" s="25">
        <f>15.45*18.8</f>
        <v>290.45999999999998</v>
      </c>
      <c r="I13" s="14">
        <v>6500</v>
      </c>
      <c r="J13" s="15">
        <f t="shared" si="0"/>
        <v>1887989.9999999998</v>
      </c>
    </row>
    <row r="14" spans="3:12" ht="15" x14ac:dyDescent="0.3">
      <c r="C14" s="24"/>
      <c r="D14" s="194" t="s">
        <v>35</v>
      </c>
      <c r="E14" s="195"/>
      <c r="F14" s="196"/>
      <c r="G14" s="12" t="s">
        <v>34</v>
      </c>
      <c r="H14" s="25">
        <f>15.45*18.8</f>
        <v>290.45999999999998</v>
      </c>
      <c r="I14" s="14">
        <v>300</v>
      </c>
      <c r="J14" s="15">
        <f t="shared" si="0"/>
        <v>87138</v>
      </c>
    </row>
    <row r="15" spans="3:12" ht="15.6" x14ac:dyDescent="0.3">
      <c r="C15" s="24"/>
      <c r="D15" s="194" t="s">
        <v>36</v>
      </c>
      <c r="E15" s="195"/>
      <c r="F15" s="196"/>
      <c r="G15" s="12" t="s">
        <v>29</v>
      </c>
      <c r="H15" s="25">
        <f>H14*0.5-H11</f>
        <v>105.72899999999998</v>
      </c>
      <c r="I15" s="14">
        <v>6500</v>
      </c>
      <c r="J15" s="15">
        <f t="shared" si="0"/>
        <v>687238.49999999988</v>
      </c>
    </row>
    <row r="16" spans="3:12" x14ac:dyDescent="0.3">
      <c r="C16" s="188" t="s">
        <v>37</v>
      </c>
      <c r="D16" s="189"/>
      <c r="E16" s="189"/>
      <c r="F16" s="189"/>
      <c r="G16" s="189"/>
      <c r="H16" s="190"/>
      <c r="I16" s="17"/>
      <c r="J16" s="26">
        <f>SUM(J10:J15)</f>
        <v>3936681.95</v>
      </c>
    </row>
    <row r="17" spans="3:12" ht="15" x14ac:dyDescent="0.3">
      <c r="C17" s="19" t="s">
        <v>38</v>
      </c>
      <c r="D17" s="191" t="s">
        <v>39</v>
      </c>
      <c r="E17" s="192"/>
      <c r="F17" s="193"/>
      <c r="G17" s="20"/>
      <c r="H17" s="21"/>
      <c r="I17" s="22"/>
      <c r="J17" s="23"/>
    </row>
    <row r="18" spans="3:12" ht="14.4" customHeight="1" x14ac:dyDescent="0.3">
      <c r="C18" s="27"/>
      <c r="D18" s="213" t="s">
        <v>40</v>
      </c>
      <c r="E18" s="214"/>
      <c r="F18" s="215"/>
      <c r="G18" s="12" t="s">
        <v>29</v>
      </c>
      <c r="H18" s="28">
        <f>0.05*0.45*175.56</f>
        <v>3.9501000000000004</v>
      </c>
      <c r="I18" s="29">
        <v>90000</v>
      </c>
      <c r="J18" s="30">
        <f>H18*I18</f>
        <v>355509.00000000006</v>
      </c>
    </row>
    <row r="19" spans="3:12" ht="14.4" customHeight="1" x14ac:dyDescent="0.3">
      <c r="C19" s="27"/>
      <c r="D19" s="213" t="s">
        <v>41</v>
      </c>
      <c r="E19" s="214"/>
      <c r="F19" s="215"/>
      <c r="G19" s="12" t="s">
        <v>29</v>
      </c>
      <c r="H19" s="28">
        <f>0.1*0.45*175.56</f>
        <v>7.9002000000000008</v>
      </c>
      <c r="I19" s="29">
        <v>150000</v>
      </c>
      <c r="J19" s="30">
        <f t="shared" ref="J19:J31" si="1">H19*I19</f>
        <v>1185030.0000000002</v>
      </c>
    </row>
    <row r="20" spans="3:12" ht="14.4" customHeight="1" x14ac:dyDescent="0.3">
      <c r="C20" s="27"/>
      <c r="D20" s="210" t="s">
        <v>42</v>
      </c>
      <c r="E20" s="211"/>
      <c r="F20" s="212"/>
      <c r="G20" s="31" t="s">
        <v>43</v>
      </c>
      <c r="H20" s="28">
        <f>0.394*175.56*3</f>
        <v>207.51192000000003</v>
      </c>
      <c r="I20" s="29">
        <v>1300</v>
      </c>
      <c r="J20" s="30">
        <f t="shared" si="1"/>
        <v>269765.49600000004</v>
      </c>
    </row>
    <row r="21" spans="3:12" ht="14.4" customHeight="1" x14ac:dyDescent="0.3">
      <c r="C21" s="27"/>
      <c r="D21" s="210" t="s">
        <v>44</v>
      </c>
      <c r="E21" s="211"/>
      <c r="F21" s="212"/>
      <c r="G21" s="31" t="s">
        <v>43</v>
      </c>
      <c r="H21" s="28">
        <f>0.55*878*0.616</f>
        <v>297.46640000000002</v>
      </c>
      <c r="I21" s="29">
        <v>1300</v>
      </c>
      <c r="J21" s="30">
        <f t="shared" si="1"/>
        <v>386706.32</v>
      </c>
      <c r="K21" t="s">
        <v>45</v>
      </c>
      <c r="L21" s="32">
        <f>L11/0.2</f>
        <v>877.8</v>
      </c>
    </row>
    <row r="22" spans="3:12" ht="14.4" customHeight="1" x14ac:dyDescent="0.3">
      <c r="C22" s="27"/>
      <c r="D22" s="213" t="s">
        <v>46</v>
      </c>
      <c r="E22" s="214"/>
      <c r="F22" s="215"/>
      <c r="G22" s="12" t="s">
        <v>29</v>
      </c>
      <c r="H22" s="28">
        <f>0.2*0.2*0.35*45</f>
        <v>0.63000000000000012</v>
      </c>
      <c r="I22" s="29">
        <v>150000</v>
      </c>
      <c r="J22" s="30">
        <f t="shared" si="1"/>
        <v>94500.000000000015</v>
      </c>
      <c r="K22" t="s">
        <v>45</v>
      </c>
      <c r="L22" s="33">
        <v>45</v>
      </c>
    </row>
    <row r="23" spans="3:12" ht="14.4" customHeight="1" x14ac:dyDescent="0.3">
      <c r="C23" s="27"/>
      <c r="D23" s="210" t="s">
        <v>47</v>
      </c>
      <c r="E23" s="211"/>
      <c r="F23" s="212"/>
      <c r="G23" s="31" t="s">
        <v>43</v>
      </c>
      <c r="H23" s="28">
        <f>1.6*4*45*0.615</f>
        <v>177.12</v>
      </c>
      <c r="I23" s="29">
        <v>1300</v>
      </c>
      <c r="J23" s="30">
        <f t="shared" si="1"/>
        <v>230256</v>
      </c>
    </row>
    <row r="24" spans="3:12" ht="14.4" customHeight="1" x14ac:dyDescent="0.3">
      <c r="C24" s="27"/>
      <c r="D24" s="210" t="s">
        <v>48</v>
      </c>
      <c r="E24" s="211"/>
      <c r="F24" s="212"/>
      <c r="G24" s="31" t="s">
        <v>43</v>
      </c>
      <c r="H24" s="28">
        <f>(0.14*4+0.1*2)*3*45*0.222</f>
        <v>22.777200000000001</v>
      </c>
      <c r="I24" s="29">
        <v>1300</v>
      </c>
      <c r="J24" s="30">
        <f t="shared" si="1"/>
        <v>29610.36</v>
      </c>
    </row>
    <row r="25" spans="3:12" ht="14.4" customHeight="1" x14ac:dyDescent="0.3">
      <c r="C25" s="27"/>
      <c r="D25" s="210" t="s">
        <v>49</v>
      </c>
      <c r="E25" s="211"/>
      <c r="F25" s="212"/>
      <c r="G25" s="31" t="s">
        <v>34</v>
      </c>
      <c r="H25" s="28">
        <f>0.2*0.5*4*45</f>
        <v>18</v>
      </c>
      <c r="I25" s="29">
        <v>5000</v>
      </c>
      <c r="J25" s="30">
        <f t="shared" si="1"/>
        <v>90000</v>
      </c>
    </row>
    <row r="26" spans="3:12" ht="14.4" customHeight="1" x14ac:dyDescent="0.3">
      <c r="C26" s="27"/>
      <c r="D26" s="213" t="s">
        <v>50</v>
      </c>
      <c r="E26" s="214"/>
      <c r="F26" s="215"/>
      <c r="G26" s="12" t="s">
        <v>29</v>
      </c>
      <c r="H26" s="28">
        <f>0.2*0.2*175.56</f>
        <v>7.0224000000000011</v>
      </c>
      <c r="I26" s="29">
        <v>150000</v>
      </c>
      <c r="J26" s="30">
        <f t="shared" si="1"/>
        <v>1053360.0000000002</v>
      </c>
    </row>
    <row r="27" spans="3:12" ht="14.4" customHeight="1" x14ac:dyDescent="0.3">
      <c r="C27" s="27"/>
      <c r="D27" s="210" t="s">
        <v>51</v>
      </c>
      <c r="E27" s="211"/>
      <c r="F27" s="212"/>
      <c r="G27" s="31" t="s">
        <v>43</v>
      </c>
      <c r="H27" s="28">
        <f>0.394*175.56</f>
        <v>69.170640000000006</v>
      </c>
      <c r="I27" s="29">
        <v>1300</v>
      </c>
      <c r="J27" s="30">
        <f t="shared" si="1"/>
        <v>89921.832000000009</v>
      </c>
    </row>
    <row r="28" spans="3:12" ht="14.4" customHeight="1" x14ac:dyDescent="0.3">
      <c r="C28" s="27"/>
      <c r="D28" s="210" t="s">
        <v>48</v>
      </c>
      <c r="E28" s="211"/>
      <c r="F28" s="212"/>
      <c r="G28" s="31" t="s">
        <v>43</v>
      </c>
      <c r="H28" s="28">
        <f>0.222*878*(0.14*4+0.1*2)</f>
        <v>148.13615999999999</v>
      </c>
      <c r="I28" s="29">
        <v>1300</v>
      </c>
      <c r="J28" s="30">
        <f t="shared" si="1"/>
        <v>192577.00799999997</v>
      </c>
    </row>
    <row r="29" spans="3:12" ht="14.4" customHeight="1" x14ac:dyDescent="0.3">
      <c r="C29" s="27"/>
      <c r="D29" s="210" t="s">
        <v>49</v>
      </c>
      <c r="E29" s="211"/>
      <c r="F29" s="212"/>
      <c r="G29" s="31" t="s">
        <v>34</v>
      </c>
      <c r="H29" s="28">
        <f>0.2*175.56*2</f>
        <v>70.224000000000004</v>
      </c>
      <c r="I29" s="29">
        <v>5000</v>
      </c>
      <c r="J29" s="30">
        <f t="shared" si="1"/>
        <v>351120</v>
      </c>
    </row>
    <row r="30" spans="3:12" ht="17.25" customHeight="1" x14ac:dyDescent="0.3">
      <c r="C30" s="27"/>
      <c r="D30" s="213" t="s">
        <v>52</v>
      </c>
      <c r="E30" s="214"/>
      <c r="F30" s="215"/>
      <c r="G30" s="12" t="s">
        <v>29</v>
      </c>
      <c r="H30" s="28">
        <f>H13*0.08</f>
        <v>23.236799999999999</v>
      </c>
      <c r="I30" s="29">
        <v>115000</v>
      </c>
      <c r="J30" s="30">
        <f t="shared" si="1"/>
        <v>2672232</v>
      </c>
    </row>
    <row r="31" spans="3:12" ht="14.4" customHeight="1" x14ac:dyDescent="0.3">
      <c r="C31" s="27"/>
      <c r="D31" s="213" t="s">
        <v>53</v>
      </c>
      <c r="E31" s="214"/>
      <c r="F31" s="215"/>
      <c r="G31" s="31" t="s">
        <v>34</v>
      </c>
      <c r="H31" s="28">
        <f>0.35*175.56</f>
        <v>61.445999999999998</v>
      </c>
      <c r="I31" s="29">
        <v>11000</v>
      </c>
      <c r="J31" s="30">
        <f t="shared" si="1"/>
        <v>675906</v>
      </c>
    </row>
    <row r="32" spans="3:12" ht="14.4" customHeight="1" x14ac:dyDescent="0.3">
      <c r="C32" s="188" t="s">
        <v>54</v>
      </c>
      <c r="D32" s="189"/>
      <c r="E32" s="189"/>
      <c r="F32" s="189"/>
      <c r="G32" s="189"/>
      <c r="H32" s="190"/>
      <c r="I32" s="17"/>
      <c r="J32" s="26">
        <f>SUM(J18:J31)</f>
        <v>7676494.0159999998</v>
      </c>
    </row>
    <row r="33" spans="3:12" ht="15" x14ac:dyDescent="0.3">
      <c r="C33" s="19" t="s">
        <v>55</v>
      </c>
      <c r="D33" s="191" t="s">
        <v>56</v>
      </c>
      <c r="E33" s="192"/>
      <c r="F33" s="193"/>
      <c r="G33" s="20"/>
      <c r="H33" s="21"/>
      <c r="I33" s="34"/>
      <c r="J33" s="35"/>
    </row>
    <row r="34" spans="3:12" ht="15.6" x14ac:dyDescent="0.3">
      <c r="C34" s="27"/>
      <c r="D34" s="216" t="s">
        <v>46</v>
      </c>
      <c r="E34" s="217"/>
      <c r="F34" s="218"/>
      <c r="G34" s="12" t="s">
        <v>29</v>
      </c>
      <c r="H34" s="28">
        <f>0.2*0.2*2.8*45</f>
        <v>5.0400000000000009</v>
      </c>
      <c r="I34" s="29">
        <v>150000</v>
      </c>
      <c r="J34" s="30">
        <f>H34*I34</f>
        <v>756000.00000000012</v>
      </c>
    </row>
    <row r="35" spans="3:12" x14ac:dyDescent="0.3">
      <c r="C35" s="24"/>
      <c r="D35" s="207" t="s">
        <v>57</v>
      </c>
      <c r="E35" s="208"/>
      <c r="F35" s="209"/>
      <c r="G35" s="12" t="s">
        <v>43</v>
      </c>
      <c r="H35" s="25">
        <f>(2.8+0.6)*4*0.616*45</f>
        <v>376.99199999999996</v>
      </c>
      <c r="I35" s="14">
        <v>1300</v>
      </c>
      <c r="J35" s="30">
        <f t="shared" ref="J35:J49" si="2">H35*I35</f>
        <v>490089.6</v>
      </c>
    </row>
    <row r="36" spans="3:12" x14ac:dyDescent="0.3">
      <c r="C36" s="24"/>
      <c r="D36" s="207" t="s">
        <v>48</v>
      </c>
      <c r="E36" s="208"/>
      <c r="F36" s="209"/>
      <c r="G36" s="12" t="s">
        <v>43</v>
      </c>
      <c r="H36" s="25">
        <f>(0.14*4+0.1*2)*14*0.222*45</f>
        <v>106.29360000000001</v>
      </c>
      <c r="I36" s="14">
        <v>1300</v>
      </c>
      <c r="J36" s="30">
        <f t="shared" si="2"/>
        <v>138181.68000000002</v>
      </c>
      <c r="K36" t="s">
        <v>45</v>
      </c>
      <c r="L36" s="32">
        <f>280/20</f>
        <v>14</v>
      </c>
    </row>
    <row r="37" spans="3:12" ht="14.4" customHeight="1" x14ac:dyDescent="0.3">
      <c r="C37" s="24"/>
      <c r="D37" s="207" t="s">
        <v>49</v>
      </c>
      <c r="E37" s="208"/>
      <c r="F37" s="209"/>
      <c r="G37" s="31" t="s">
        <v>34</v>
      </c>
      <c r="H37" s="25">
        <f>2.8*0.2*4*45</f>
        <v>100.79999999999998</v>
      </c>
      <c r="I37" s="14">
        <v>5000</v>
      </c>
      <c r="J37" s="30">
        <f t="shared" si="2"/>
        <v>503999.99999999994</v>
      </c>
    </row>
    <row r="38" spans="3:12" ht="15.6" x14ac:dyDescent="0.3">
      <c r="C38" s="24"/>
      <c r="D38" s="219" t="s">
        <v>59</v>
      </c>
      <c r="E38" s="220"/>
      <c r="F38" s="221"/>
      <c r="G38" s="12" t="s">
        <v>29</v>
      </c>
      <c r="H38" s="25">
        <f>0.15*0.15*175.56</f>
        <v>3.9500999999999999</v>
      </c>
      <c r="I38" s="14">
        <v>150000</v>
      </c>
      <c r="J38" s="30">
        <f t="shared" si="2"/>
        <v>592515</v>
      </c>
    </row>
    <row r="39" spans="3:12" x14ac:dyDescent="0.3">
      <c r="C39" s="24"/>
      <c r="D39" s="207" t="s">
        <v>60</v>
      </c>
      <c r="E39" s="208"/>
      <c r="F39" s="209"/>
      <c r="G39" s="12" t="s">
        <v>43</v>
      </c>
      <c r="H39" s="25">
        <f>0.397*175.56*4</f>
        <v>278.78928000000002</v>
      </c>
      <c r="I39" s="14">
        <v>1300</v>
      </c>
      <c r="J39" s="30">
        <f t="shared" si="2"/>
        <v>362426.06400000001</v>
      </c>
    </row>
    <row r="40" spans="3:12" x14ac:dyDescent="0.3">
      <c r="C40" s="24"/>
      <c r="D40" s="207" t="s">
        <v>61</v>
      </c>
      <c r="E40" s="208"/>
      <c r="F40" s="209"/>
      <c r="G40" s="12" t="s">
        <v>43</v>
      </c>
      <c r="H40" s="25">
        <f>0.222*(0.1*4+0.12)*878</f>
        <v>101.35632</v>
      </c>
      <c r="I40" s="14">
        <v>1300</v>
      </c>
      <c r="J40" s="30">
        <f t="shared" si="2"/>
        <v>131763.21599999999</v>
      </c>
    </row>
    <row r="41" spans="3:12" x14ac:dyDescent="0.3">
      <c r="C41" s="36"/>
      <c r="D41" s="207" t="s">
        <v>62</v>
      </c>
      <c r="E41" s="208"/>
      <c r="F41" s="209"/>
      <c r="G41" s="31" t="s">
        <v>34</v>
      </c>
      <c r="H41" s="37">
        <f>2*0.2*175.56</f>
        <v>70.224000000000004</v>
      </c>
      <c r="I41" s="38">
        <v>5000</v>
      </c>
      <c r="J41" s="30">
        <f t="shared" si="2"/>
        <v>351120</v>
      </c>
    </row>
    <row r="42" spans="3:12" ht="15.6" x14ac:dyDescent="0.3">
      <c r="C42" s="39"/>
      <c r="D42" s="219" t="s">
        <v>63</v>
      </c>
      <c r="E42" s="220"/>
      <c r="F42" s="221"/>
      <c r="G42" s="12" t="s">
        <v>29</v>
      </c>
      <c r="H42" s="40">
        <f>0.15*0.15*175.56</f>
        <v>3.9500999999999999</v>
      </c>
      <c r="I42" s="38">
        <v>150000</v>
      </c>
      <c r="J42" s="30">
        <f t="shared" si="2"/>
        <v>592515</v>
      </c>
    </row>
    <row r="43" spans="3:12" x14ac:dyDescent="0.3">
      <c r="C43" s="24"/>
      <c r="D43" s="207" t="s">
        <v>64</v>
      </c>
      <c r="E43" s="208"/>
      <c r="F43" s="209"/>
      <c r="G43" s="12" t="s">
        <v>43</v>
      </c>
      <c r="H43" s="25">
        <f>0.397*175.56*4</f>
        <v>278.78928000000002</v>
      </c>
      <c r="I43" s="14">
        <v>1300</v>
      </c>
      <c r="J43" s="30">
        <f t="shared" si="2"/>
        <v>362426.06400000001</v>
      </c>
    </row>
    <row r="44" spans="3:12" ht="14.4" customHeight="1" x14ac:dyDescent="0.3">
      <c r="C44" s="24"/>
      <c r="D44" s="207" t="s">
        <v>65</v>
      </c>
      <c r="E44" s="208"/>
      <c r="F44" s="209"/>
      <c r="G44" s="12" t="s">
        <v>43</v>
      </c>
      <c r="H44" s="25">
        <f>0.222*(0.1*4+0.12)*878</f>
        <v>101.35632</v>
      </c>
      <c r="I44" s="14">
        <v>1300</v>
      </c>
      <c r="J44" s="30">
        <f t="shared" si="2"/>
        <v>131763.21599999999</v>
      </c>
    </row>
    <row r="45" spans="3:12" ht="14.4" customHeight="1" x14ac:dyDescent="0.3">
      <c r="C45" s="24"/>
      <c r="D45" s="207" t="s">
        <v>49</v>
      </c>
      <c r="E45" s="208"/>
      <c r="F45" s="209"/>
      <c r="G45" s="31" t="s">
        <v>34</v>
      </c>
      <c r="H45" s="25">
        <f>2*0.2*175.56</f>
        <v>70.224000000000004</v>
      </c>
      <c r="I45" s="14">
        <v>5000</v>
      </c>
      <c r="J45" s="30">
        <f t="shared" si="2"/>
        <v>351120</v>
      </c>
    </row>
    <row r="46" spans="3:12" ht="14.4" customHeight="1" x14ac:dyDescent="0.3">
      <c r="C46" s="24"/>
      <c r="D46" s="219" t="s">
        <v>66</v>
      </c>
      <c r="E46" s="220"/>
      <c r="F46" s="221"/>
      <c r="G46" s="12" t="s">
        <v>29</v>
      </c>
      <c r="H46" s="25">
        <f>0.9+0.98+0.96+0.2</f>
        <v>3.04</v>
      </c>
      <c r="I46" s="14">
        <v>150000</v>
      </c>
      <c r="J46" s="30">
        <f t="shared" si="2"/>
        <v>456000</v>
      </c>
    </row>
    <row r="47" spans="3:12" ht="14.4" customHeight="1" x14ac:dyDescent="0.3">
      <c r="C47" s="24"/>
      <c r="D47" s="207" t="s">
        <v>67</v>
      </c>
      <c r="E47" s="208"/>
      <c r="F47" s="209"/>
      <c r="G47" s="12" t="s">
        <v>43</v>
      </c>
      <c r="H47" s="25">
        <f>0.616*4.54*16</f>
        <v>44.74624</v>
      </c>
      <c r="I47" s="14">
        <v>1300</v>
      </c>
      <c r="J47" s="30">
        <f t="shared" si="2"/>
        <v>58170.112000000001</v>
      </c>
    </row>
    <row r="48" spans="3:12" ht="14.4" customHeight="1" x14ac:dyDescent="0.3">
      <c r="C48" s="24"/>
      <c r="D48" s="207" t="s">
        <v>68</v>
      </c>
      <c r="E48" s="208"/>
      <c r="F48" s="209"/>
      <c r="G48" s="12" t="s">
        <v>43</v>
      </c>
      <c r="H48" s="25">
        <f>0.394*1.45*19</f>
        <v>10.854700000000001</v>
      </c>
      <c r="I48" s="14">
        <v>1300</v>
      </c>
      <c r="J48" s="30">
        <f t="shared" si="2"/>
        <v>14111.11</v>
      </c>
    </row>
    <row r="49" spans="3:10" x14ac:dyDescent="0.3">
      <c r="C49" s="24"/>
      <c r="D49" s="219" t="s">
        <v>69</v>
      </c>
      <c r="E49" s="220"/>
      <c r="F49" s="221"/>
      <c r="G49" s="41" t="s">
        <v>34</v>
      </c>
      <c r="H49" s="25">
        <f>2.8*175.56</f>
        <v>491.56799999999998</v>
      </c>
      <c r="I49" s="14">
        <v>11000</v>
      </c>
      <c r="J49" s="30">
        <f t="shared" si="2"/>
        <v>5407248</v>
      </c>
    </row>
    <row r="50" spans="3:10" x14ac:dyDescent="0.3">
      <c r="C50" s="188" t="s">
        <v>70</v>
      </c>
      <c r="D50" s="189"/>
      <c r="E50" s="189"/>
      <c r="F50" s="189"/>
      <c r="G50" s="189"/>
      <c r="H50" s="190"/>
      <c r="I50" s="42"/>
      <c r="J50" s="26">
        <f>SUM(J34:J49)</f>
        <v>10699449.062000001</v>
      </c>
    </row>
    <row r="51" spans="3:10" ht="15" x14ac:dyDescent="0.3">
      <c r="C51" s="19" t="s">
        <v>71</v>
      </c>
      <c r="D51" s="191" t="s">
        <v>72</v>
      </c>
      <c r="E51" s="192"/>
      <c r="F51" s="193"/>
      <c r="G51" s="20"/>
      <c r="H51" s="21"/>
      <c r="I51" s="22"/>
      <c r="J51" s="23"/>
    </row>
    <row r="52" spans="3:10" ht="15.6" x14ac:dyDescent="0.3">
      <c r="C52" s="27"/>
      <c r="D52" s="216" t="s">
        <v>46</v>
      </c>
      <c r="E52" s="217"/>
      <c r="F52" s="218"/>
      <c r="G52" s="12" t="s">
        <v>29</v>
      </c>
      <c r="H52" s="28">
        <f>0.2*0.2*2.8*45</f>
        <v>5.0400000000000009</v>
      </c>
      <c r="I52" s="29">
        <v>150000</v>
      </c>
      <c r="J52" s="30">
        <f>H52*I52</f>
        <v>756000.00000000012</v>
      </c>
    </row>
    <row r="53" spans="3:10" x14ac:dyDescent="0.3">
      <c r="C53" s="24"/>
      <c r="D53" s="207" t="s">
        <v>57</v>
      </c>
      <c r="E53" s="208"/>
      <c r="F53" s="209"/>
      <c r="G53" s="12" t="s">
        <v>43</v>
      </c>
      <c r="H53" s="25">
        <f>(2.8+0.6)*4*0.616*45</f>
        <v>376.99199999999996</v>
      </c>
      <c r="I53" s="14">
        <v>1300</v>
      </c>
      <c r="J53" s="30">
        <f t="shared" ref="J53:J67" si="3">H53*I53</f>
        <v>490089.6</v>
      </c>
    </row>
    <row r="54" spans="3:10" x14ac:dyDescent="0.3">
      <c r="C54" s="24"/>
      <c r="D54" s="207" t="s">
        <v>58</v>
      </c>
      <c r="E54" s="208"/>
      <c r="F54" s="209"/>
      <c r="G54" s="12" t="s">
        <v>43</v>
      </c>
      <c r="H54" s="25">
        <f>(0.1*4+0.12)*14*0.222*45</f>
        <v>72.727199999999996</v>
      </c>
      <c r="I54" s="14">
        <v>1300</v>
      </c>
      <c r="J54" s="30">
        <f t="shared" si="3"/>
        <v>94545.36</v>
      </c>
    </row>
    <row r="55" spans="3:10" x14ac:dyDescent="0.3">
      <c r="C55" s="24"/>
      <c r="D55" s="207" t="s">
        <v>49</v>
      </c>
      <c r="E55" s="208"/>
      <c r="F55" s="209"/>
      <c r="G55" s="31" t="s">
        <v>34</v>
      </c>
      <c r="H55" s="25">
        <f>2.8*0.2*4*45</f>
        <v>100.79999999999998</v>
      </c>
      <c r="I55" s="14">
        <v>5000</v>
      </c>
      <c r="J55" s="30">
        <f t="shared" si="3"/>
        <v>503999.99999999994</v>
      </c>
    </row>
    <row r="56" spans="3:10" ht="15.6" x14ac:dyDescent="0.3">
      <c r="C56" s="24"/>
      <c r="D56" s="219" t="s">
        <v>73</v>
      </c>
      <c r="E56" s="220"/>
      <c r="F56" s="221"/>
      <c r="G56" s="12" t="s">
        <v>29</v>
      </c>
      <c r="H56" s="25">
        <f>H13*0.15</f>
        <v>43.568999999999996</v>
      </c>
      <c r="I56" s="14">
        <v>150000</v>
      </c>
      <c r="J56" s="30">
        <f t="shared" si="3"/>
        <v>6535349.9999999991</v>
      </c>
    </row>
    <row r="57" spans="3:10" x14ac:dyDescent="0.3">
      <c r="C57" s="24"/>
      <c r="D57" s="207" t="s">
        <v>74</v>
      </c>
      <c r="E57" s="208"/>
      <c r="F57" s="209"/>
      <c r="G57" s="12" t="s">
        <v>43</v>
      </c>
      <c r="H57" s="25">
        <f>60*H56</f>
        <v>2614.14</v>
      </c>
      <c r="I57" s="14">
        <v>1300</v>
      </c>
      <c r="J57" s="30">
        <f t="shared" si="3"/>
        <v>3398382</v>
      </c>
    </row>
    <row r="58" spans="3:10" x14ac:dyDescent="0.3">
      <c r="C58" s="24"/>
      <c r="D58" s="219" t="s">
        <v>75</v>
      </c>
      <c r="E58" s="220"/>
      <c r="F58" s="221"/>
      <c r="G58" s="12" t="s">
        <v>76</v>
      </c>
      <c r="H58" s="25">
        <f>(18.8/0.8)*(15.45/0.8)</f>
        <v>453.84374999999994</v>
      </c>
      <c r="I58" s="14">
        <v>5000</v>
      </c>
      <c r="J58" s="30">
        <f t="shared" si="3"/>
        <v>2269218.7499999995</v>
      </c>
    </row>
    <row r="59" spans="3:10" ht="15.6" x14ac:dyDescent="0.3">
      <c r="C59" s="24"/>
      <c r="D59" s="219" t="s">
        <v>59</v>
      </c>
      <c r="E59" s="220"/>
      <c r="F59" s="221"/>
      <c r="G59" s="12" t="s">
        <v>29</v>
      </c>
      <c r="H59" s="25">
        <f>0.15*0.15*175.56</f>
        <v>3.9500999999999999</v>
      </c>
      <c r="I59" s="14">
        <v>150000</v>
      </c>
      <c r="J59" s="30">
        <f t="shared" si="3"/>
        <v>592515</v>
      </c>
    </row>
    <row r="60" spans="3:10" x14ac:dyDescent="0.3">
      <c r="C60" s="24"/>
      <c r="D60" s="207" t="s">
        <v>60</v>
      </c>
      <c r="E60" s="208"/>
      <c r="F60" s="209"/>
      <c r="G60" s="12" t="s">
        <v>43</v>
      </c>
      <c r="H60" s="25">
        <f>0.397*175.56*4</f>
        <v>278.78928000000002</v>
      </c>
      <c r="I60" s="14">
        <v>1300</v>
      </c>
      <c r="J60" s="30">
        <f t="shared" si="3"/>
        <v>362426.06400000001</v>
      </c>
    </row>
    <row r="61" spans="3:10" x14ac:dyDescent="0.3">
      <c r="C61" s="24"/>
      <c r="D61" s="207" t="s">
        <v>61</v>
      </c>
      <c r="E61" s="208"/>
      <c r="F61" s="209"/>
      <c r="G61" s="12" t="s">
        <v>43</v>
      </c>
      <c r="H61" s="25">
        <f>0.222*(0.1*4+0.12)*878</f>
        <v>101.35632</v>
      </c>
      <c r="I61" s="14">
        <v>1300</v>
      </c>
      <c r="J61" s="30">
        <f t="shared" si="3"/>
        <v>131763.21599999999</v>
      </c>
    </row>
    <row r="62" spans="3:10" x14ac:dyDescent="0.3">
      <c r="C62" s="24"/>
      <c r="D62" s="207" t="s">
        <v>62</v>
      </c>
      <c r="E62" s="208"/>
      <c r="F62" s="209"/>
      <c r="G62" s="31" t="s">
        <v>34</v>
      </c>
      <c r="H62" s="37">
        <f>2*0.2*175.56</f>
        <v>70.224000000000004</v>
      </c>
      <c r="I62" s="14">
        <v>5000</v>
      </c>
      <c r="J62" s="30">
        <f t="shared" si="3"/>
        <v>351120</v>
      </c>
    </row>
    <row r="63" spans="3:10" ht="15.6" x14ac:dyDescent="0.3">
      <c r="C63" s="24"/>
      <c r="D63" s="219" t="s">
        <v>63</v>
      </c>
      <c r="E63" s="220"/>
      <c r="F63" s="221"/>
      <c r="G63" s="12" t="s">
        <v>29</v>
      </c>
      <c r="H63" s="40">
        <f>0.15*0.15*175.56</f>
        <v>3.9500999999999999</v>
      </c>
      <c r="I63" s="14">
        <v>150000</v>
      </c>
      <c r="J63" s="30">
        <f t="shared" si="3"/>
        <v>592515</v>
      </c>
    </row>
    <row r="64" spans="3:10" x14ac:dyDescent="0.3">
      <c r="C64" s="24"/>
      <c r="D64" s="207" t="s">
        <v>64</v>
      </c>
      <c r="E64" s="208"/>
      <c r="F64" s="209"/>
      <c r="G64" s="12" t="s">
        <v>43</v>
      </c>
      <c r="H64" s="25">
        <f>0.397*175.56*4</f>
        <v>278.78928000000002</v>
      </c>
      <c r="I64" s="14">
        <v>1300</v>
      </c>
      <c r="J64" s="30">
        <f t="shared" si="3"/>
        <v>362426.06400000001</v>
      </c>
    </row>
    <row r="65" spans="3:10" x14ac:dyDescent="0.3">
      <c r="C65" s="24"/>
      <c r="D65" s="207" t="s">
        <v>65</v>
      </c>
      <c r="E65" s="208"/>
      <c r="F65" s="209"/>
      <c r="G65" s="12" t="s">
        <v>43</v>
      </c>
      <c r="H65" s="25">
        <f>0.222*(0.1*4+0.12)*878</f>
        <v>101.35632</v>
      </c>
      <c r="I65" s="14">
        <v>1300</v>
      </c>
      <c r="J65" s="30">
        <f t="shared" si="3"/>
        <v>131763.21599999999</v>
      </c>
    </row>
    <row r="66" spans="3:10" x14ac:dyDescent="0.3">
      <c r="C66" s="24"/>
      <c r="D66" s="207" t="s">
        <v>49</v>
      </c>
      <c r="E66" s="208"/>
      <c r="F66" s="209"/>
      <c r="G66" s="31" t="s">
        <v>34</v>
      </c>
      <c r="H66" s="25">
        <f>2*0.2*175.56</f>
        <v>70.224000000000004</v>
      </c>
      <c r="I66" s="14">
        <v>5000</v>
      </c>
      <c r="J66" s="30">
        <f t="shared" si="3"/>
        <v>351120</v>
      </c>
    </row>
    <row r="67" spans="3:10" x14ac:dyDescent="0.3">
      <c r="C67" s="43"/>
      <c r="D67" s="219" t="s">
        <v>69</v>
      </c>
      <c r="E67" s="220"/>
      <c r="F67" s="221"/>
      <c r="G67" s="31" t="s">
        <v>34</v>
      </c>
      <c r="H67" s="37">
        <f>2.8*175.56</f>
        <v>491.56799999999998</v>
      </c>
      <c r="I67" s="14">
        <v>11000</v>
      </c>
      <c r="J67" s="30">
        <f t="shared" si="3"/>
        <v>5407248</v>
      </c>
    </row>
    <row r="68" spans="3:10" x14ac:dyDescent="0.3">
      <c r="C68" s="188" t="s">
        <v>77</v>
      </c>
      <c r="D68" s="189"/>
      <c r="E68" s="189"/>
      <c r="F68" s="189"/>
      <c r="G68" s="189"/>
      <c r="H68" s="190"/>
      <c r="I68" s="17"/>
      <c r="J68" s="26">
        <f>SUM(J52:J67)</f>
        <v>22330482.269999996</v>
      </c>
    </row>
    <row r="69" spans="3:10" ht="15" thickBot="1" x14ac:dyDescent="0.35">
      <c r="C69" s="222"/>
      <c r="D69" s="223"/>
      <c r="E69" s="223"/>
      <c r="F69" s="223"/>
      <c r="G69" s="223"/>
      <c r="H69" s="223"/>
      <c r="I69" s="223"/>
      <c r="J69" s="223"/>
    </row>
    <row r="70" spans="3:10" ht="15" x14ac:dyDescent="0.3">
      <c r="C70" s="6" t="s">
        <v>78</v>
      </c>
      <c r="D70" s="204" t="s">
        <v>79</v>
      </c>
      <c r="E70" s="205"/>
      <c r="F70" s="206"/>
      <c r="G70" s="7"/>
      <c r="H70" s="8"/>
      <c r="I70" s="9"/>
      <c r="J70" s="10"/>
    </row>
    <row r="71" spans="3:10" ht="16.5" customHeight="1" x14ac:dyDescent="0.3">
      <c r="C71" s="44"/>
      <c r="D71" s="210" t="s">
        <v>80</v>
      </c>
      <c r="E71" s="211"/>
      <c r="F71" s="212"/>
      <c r="G71" s="12" t="s">
        <v>29</v>
      </c>
      <c r="H71" s="45">
        <f>0.15*0.03*741+0.08*0.08*163</f>
        <v>4.3776999999999999</v>
      </c>
      <c r="I71" s="46">
        <v>300000</v>
      </c>
      <c r="J71" s="47">
        <f>H71*I71</f>
        <v>1313310</v>
      </c>
    </row>
    <row r="72" spans="3:10" ht="15.6" x14ac:dyDescent="0.3">
      <c r="C72" s="44"/>
      <c r="D72" s="224" t="s">
        <v>81</v>
      </c>
      <c r="E72" s="225"/>
      <c r="F72" s="226"/>
      <c r="G72" s="12" t="s">
        <v>82</v>
      </c>
      <c r="H72" s="45">
        <v>286</v>
      </c>
      <c r="I72" s="46">
        <v>5000</v>
      </c>
      <c r="J72" s="47">
        <f>H72*I72</f>
        <v>1430000</v>
      </c>
    </row>
    <row r="73" spans="3:10" x14ac:dyDescent="0.3">
      <c r="C73" s="188" t="s">
        <v>83</v>
      </c>
      <c r="D73" s="189"/>
      <c r="E73" s="189"/>
      <c r="F73" s="189"/>
      <c r="G73" s="189"/>
      <c r="H73" s="190"/>
      <c r="I73" s="48"/>
      <c r="J73" s="49">
        <f>SUM(J71:J72)</f>
        <v>2743310</v>
      </c>
    </row>
    <row r="74" spans="3:10" ht="15" x14ac:dyDescent="0.3">
      <c r="C74" s="19" t="s">
        <v>84</v>
      </c>
      <c r="D74" s="191" t="s">
        <v>85</v>
      </c>
      <c r="E74" s="192"/>
      <c r="F74" s="193"/>
      <c r="G74" s="20"/>
      <c r="H74" s="21"/>
      <c r="I74" s="50"/>
      <c r="J74" s="51"/>
    </row>
    <row r="75" spans="3:10" x14ac:dyDescent="0.3">
      <c r="C75" s="52"/>
      <c r="D75" s="233" t="s">
        <v>56</v>
      </c>
      <c r="E75" s="234"/>
      <c r="F75" s="235"/>
      <c r="G75" s="53"/>
      <c r="H75" s="54"/>
      <c r="I75" s="55"/>
      <c r="J75" s="56"/>
    </row>
    <row r="76" spans="3:10" x14ac:dyDescent="0.3">
      <c r="C76" s="24"/>
      <c r="D76" s="207" t="s">
        <v>86</v>
      </c>
      <c r="E76" s="208"/>
      <c r="F76" s="209"/>
      <c r="G76" s="12" t="s">
        <v>87</v>
      </c>
      <c r="H76" s="12">
        <v>238</v>
      </c>
      <c r="I76" s="57">
        <v>25000</v>
      </c>
      <c r="J76" s="15">
        <f>H76*I76</f>
        <v>5950000</v>
      </c>
    </row>
    <row r="77" spans="3:10" ht="14.4" customHeight="1" x14ac:dyDescent="0.3">
      <c r="C77" s="24"/>
      <c r="D77" s="207" t="s">
        <v>88</v>
      </c>
      <c r="E77" s="208"/>
      <c r="F77" s="209"/>
      <c r="G77" s="12" t="s">
        <v>82</v>
      </c>
      <c r="H77" s="12">
        <v>102</v>
      </c>
      <c r="I77" s="57">
        <v>10000</v>
      </c>
      <c r="J77" s="15">
        <f t="shared" ref="J77:J78" si="4">H77*I77</f>
        <v>1020000</v>
      </c>
    </row>
    <row r="78" spans="3:10" ht="15.6" x14ac:dyDescent="0.3">
      <c r="C78" s="24"/>
      <c r="D78" s="207" t="s">
        <v>89</v>
      </c>
      <c r="E78" s="208"/>
      <c r="F78" s="209"/>
      <c r="G78" s="12" t="s">
        <v>82</v>
      </c>
      <c r="H78" s="12">
        <v>74</v>
      </c>
      <c r="I78" s="57"/>
      <c r="J78" s="15">
        <f t="shared" si="4"/>
        <v>0</v>
      </c>
    </row>
    <row r="79" spans="3:10" x14ac:dyDescent="0.3">
      <c r="C79" s="52"/>
      <c r="D79" s="233" t="s">
        <v>90</v>
      </c>
      <c r="E79" s="234"/>
      <c r="F79" s="235"/>
      <c r="G79" s="53"/>
      <c r="H79" s="54"/>
      <c r="I79" s="55"/>
      <c r="J79" s="56"/>
    </row>
    <row r="80" spans="3:10" x14ac:dyDescent="0.3">
      <c r="C80" s="24"/>
      <c r="D80" s="207" t="s">
        <v>86</v>
      </c>
      <c r="E80" s="208"/>
      <c r="F80" s="209"/>
      <c r="G80" s="12" t="s">
        <v>87</v>
      </c>
      <c r="H80" s="12">
        <v>238</v>
      </c>
      <c r="I80" s="57"/>
      <c r="J80" s="15">
        <f>H80*I80</f>
        <v>0</v>
      </c>
    </row>
    <row r="81" spans="3:10" ht="15.6" x14ac:dyDescent="0.3">
      <c r="C81" s="24"/>
      <c r="D81" s="207" t="s">
        <v>88</v>
      </c>
      <c r="E81" s="208"/>
      <c r="F81" s="209"/>
      <c r="G81" s="12" t="s">
        <v>82</v>
      </c>
      <c r="H81" s="12">
        <v>102</v>
      </c>
      <c r="I81" s="57"/>
      <c r="J81" s="15">
        <f t="shared" ref="J81:J82" si="5">H81*I81</f>
        <v>0</v>
      </c>
    </row>
    <row r="82" spans="3:10" ht="15.6" x14ac:dyDescent="0.3">
      <c r="C82" s="24"/>
      <c r="D82" s="207" t="s">
        <v>89</v>
      </c>
      <c r="E82" s="208"/>
      <c r="F82" s="209"/>
      <c r="G82" s="12" t="s">
        <v>82</v>
      </c>
      <c r="H82" s="12">
        <v>74</v>
      </c>
      <c r="I82" s="57"/>
      <c r="J82" s="15">
        <f t="shared" si="5"/>
        <v>0</v>
      </c>
    </row>
    <row r="83" spans="3:10" x14ac:dyDescent="0.3">
      <c r="C83" s="188" t="s">
        <v>91</v>
      </c>
      <c r="D83" s="189"/>
      <c r="E83" s="189"/>
      <c r="F83" s="189"/>
      <c r="G83" s="189"/>
      <c r="H83" s="190"/>
      <c r="I83" s="48"/>
      <c r="J83" s="49">
        <f>SUM(J76:J82)</f>
        <v>6970000</v>
      </c>
    </row>
    <row r="84" spans="3:10" ht="15" x14ac:dyDescent="0.3">
      <c r="C84" s="58" t="s">
        <v>92</v>
      </c>
      <c r="D84" s="227" t="s">
        <v>93</v>
      </c>
      <c r="E84" s="228"/>
      <c r="F84" s="229"/>
      <c r="G84" s="59"/>
      <c r="H84" s="60"/>
      <c r="I84" s="61"/>
      <c r="J84" s="62"/>
    </row>
    <row r="85" spans="3:10" ht="15" x14ac:dyDescent="0.3">
      <c r="C85" s="63"/>
      <c r="D85" s="230" t="s">
        <v>56</v>
      </c>
      <c r="E85" s="231"/>
      <c r="F85" s="232"/>
      <c r="G85" s="64"/>
      <c r="H85" s="65"/>
      <c r="I85" s="66"/>
      <c r="J85" s="67"/>
    </row>
    <row r="86" spans="3:10" ht="15.6" x14ac:dyDescent="0.3">
      <c r="C86" s="44"/>
      <c r="D86" s="224" t="s">
        <v>94</v>
      </c>
      <c r="E86" s="225"/>
      <c r="F86" s="226"/>
      <c r="G86" s="12" t="s">
        <v>82</v>
      </c>
      <c r="H86" s="68">
        <v>238</v>
      </c>
      <c r="I86" s="46"/>
      <c r="J86" s="47">
        <f>H86*I86</f>
        <v>0</v>
      </c>
    </row>
    <row r="87" spans="3:10" x14ac:dyDescent="0.3">
      <c r="C87" s="44"/>
      <c r="D87" s="224" t="s">
        <v>95</v>
      </c>
      <c r="E87" s="225"/>
      <c r="F87" s="226"/>
      <c r="G87" s="12" t="s">
        <v>76</v>
      </c>
      <c r="H87" s="68">
        <v>79</v>
      </c>
      <c r="I87" s="46"/>
      <c r="J87" s="47">
        <f t="shared" ref="J87:J92" si="6">H87*I87</f>
        <v>0</v>
      </c>
    </row>
    <row r="88" spans="3:10" ht="15.6" x14ac:dyDescent="0.3">
      <c r="C88" s="44"/>
      <c r="D88" s="224" t="s">
        <v>96</v>
      </c>
      <c r="E88" s="225"/>
      <c r="F88" s="226"/>
      <c r="G88" s="12" t="s">
        <v>29</v>
      </c>
      <c r="H88" s="45">
        <f>0.05*0.08*991</f>
        <v>3.964</v>
      </c>
      <c r="I88" s="46"/>
      <c r="J88" s="47">
        <f t="shared" si="6"/>
        <v>0</v>
      </c>
    </row>
    <row r="89" spans="3:10" ht="14.4" customHeight="1" x14ac:dyDescent="0.3">
      <c r="C89" s="63"/>
      <c r="D89" s="230" t="s">
        <v>90</v>
      </c>
      <c r="E89" s="231"/>
      <c r="F89" s="232"/>
      <c r="G89" s="64"/>
      <c r="H89" s="65"/>
      <c r="I89" s="66"/>
      <c r="J89" s="66"/>
    </row>
    <row r="90" spans="3:10" ht="14.4" customHeight="1" x14ac:dyDescent="0.3">
      <c r="C90" s="44"/>
      <c r="D90" s="224" t="s">
        <v>94</v>
      </c>
      <c r="E90" s="225"/>
      <c r="F90" s="226"/>
      <c r="G90" s="12" t="s">
        <v>82</v>
      </c>
      <c r="H90" s="68">
        <v>238</v>
      </c>
      <c r="I90" s="46"/>
      <c r="J90" s="47">
        <f t="shared" si="6"/>
        <v>0</v>
      </c>
    </row>
    <row r="91" spans="3:10" ht="14.4" customHeight="1" x14ac:dyDescent="0.3">
      <c r="C91" s="44"/>
      <c r="D91" s="224" t="s">
        <v>95</v>
      </c>
      <c r="E91" s="225"/>
      <c r="F91" s="226"/>
      <c r="G91" s="12" t="s">
        <v>76</v>
      </c>
      <c r="H91" s="68">
        <v>79</v>
      </c>
      <c r="I91" s="46"/>
      <c r="J91" s="47">
        <f t="shared" si="6"/>
        <v>0</v>
      </c>
    </row>
    <row r="92" spans="3:10" ht="14.4" customHeight="1" x14ac:dyDescent="0.3">
      <c r="C92" s="44"/>
      <c r="D92" s="224" t="s">
        <v>96</v>
      </c>
      <c r="E92" s="225"/>
      <c r="F92" s="226"/>
      <c r="G92" s="12" t="s">
        <v>29</v>
      </c>
      <c r="H92" s="45">
        <f>0.05*0.08*991</f>
        <v>3.964</v>
      </c>
      <c r="I92" s="46"/>
      <c r="J92" s="47">
        <f t="shared" si="6"/>
        <v>0</v>
      </c>
    </row>
    <row r="93" spans="3:10" x14ac:dyDescent="0.3">
      <c r="C93" s="188" t="s">
        <v>97</v>
      </c>
      <c r="D93" s="189"/>
      <c r="E93" s="189"/>
      <c r="F93" s="189"/>
      <c r="G93" s="189"/>
      <c r="H93" s="190"/>
      <c r="I93" s="69"/>
      <c r="J93" s="49">
        <f>SUM(J86:J92)</f>
        <v>0</v>
      </c>
    </row>
    <row r="94" spans="3:10" ht="15" x14ac:dyDescent="0.3">
      <c r="C94" s="58" t="s">
        <v>98</v>
      </c>
      <c r="D94" s="227" t="s">
        <v>99</v>
      </c>
      <c r="E94" s="228"/>
      <c r="F94" s="229"/>
      <c r="G94" s="59"/>
      <c r="H94" s="60"/>
      <c r="I94" s="61"/>
      <c r="J94" s="62"/>
    </row>
    <row r="95" spans="3:10" x14ac:dyDescent="0.3">
      <c r="C95" s="70"/>
      <c r="D95" s="236" t="s">
        <v>56</v>
      </c>
      <c r="E95" s="237"/>
      <c r="F95" s="238"/>
      <c r="G95" s="71"/>
      <c r="H95" s="72"/>
      <c r="I95" s="73"/>
      <c r="J95" s="74"/>
    </row>
    <row r="96" spans="3:10" x14ac:dyDescent="0.3">
      <c r="C96" s="24"/>
      <c r="D96" s="207" t="s">
        <v>100</v>
      </c>
      <c r="E96" s="208"/>
      <c r="F96" s="209"/>
      <c r="G96" s="12" t="s">
        <v>76</v>
      </c>
      <c r="H96" s="75">
        <v>2</v>
      </c>
      <c r="I96" s="57"/>
      <c r="J96" s="76">
        <f>H96*I96</f>
        <v>0</v>
      </c>
    </row>
    <row r="97" spans="3:10" x14ac:dyDescent="0.3">
      <c r="C97" s="24"/>
      <c r="D97" s="207" t="s">
        <v>101</v>
      </c>
      <c r="E97" s="208"/>
      <c r="F97" s="209"/>
      <c r="G97" s="12" t="s">
        <v>76</v>
      </c>
      <c r="H97" s="75">
        <v>6</v>
      </c>
      <c r="I97" s="57"/>
      <c r="J97" s="76">
        <f t="shared" ref="J97:J100" si="7">H97*I97</f>
        <v>0</v>
      </c>
    </row>
    <row r="98" spans="3:10" x14ac:dyDescent="0.3">
      <c r="C98" s="24"/>
      <c r="D98" s="207" t="s">
        <v>102</v>
      </c>
      <c r="E98" s="208"/>
      <c r="F98" s="209"/>
      <c r="G98" s="12" t="s">
        <v>76</v>
      </c>
      <c r="H98" s="75">
        <v>5</v>
      </c>
      <c r="I98" s="57"/>
      <c r="J98" s="76">
        <f t="shared" si="7"/>
        <v>0</v>
      </c>
    </row>
    <row r="99" spans="3:10" x14ac:dyDescent="0.3">
      <c r="C99" s="24"/>
      <c r="D99" s="207" t="s">
        <v>103</v>
      </c>
      <c r="E99" s="208"/>
      <c r="F99" s="209"/>
      <c r="G99" s="12" t="s">
        <v>76</v>
      </c>
      <c r="H99" s="75">
        <v>10</v>
      </c>
      <c r="I99" s="57"/>
      <c r="J99" s="76">
        <f t="shared" si="7"/>
        <v>0</v>
      </c>
    </row>
    <row r="100" spans="3:10" x14ac:dyDescent="0.3">
      <c r="C100" s="24"/>
      <c r="D100" s="207" t="s">
        <v>104</v>
      </c>
      <c r="E100" s="208"/>
      <c r="F100" s="209"/>
      <c r="G100" s="12" t="s">
        <v>76</v>
      </c>
      <c r="H100" s="75">
        <v>5</v>
      </c>
      <c r="I100" s="57"/>
      <c r="J100" s="76">
        <f t="shared" si="7"/>
        <v>0</v>
      </c>
    </row>
    <row r="101" spans="3:10" x14ac:dyDescent="0.3">
      <c r="C101" s="70"/>
      <c r="D101" s="236" t="s">
        <v>90</v>
      </c>
      <c r="E101" s="237"/>
      <c r="F101" s="238"/>
      <c r="G101" s="71"/>
      <c r="H101" s="72"/>
      <c r="I101" s="73"/>
      <c r="J101" s="74"/>
    </row>
    <row r="102" spans="3:10" x14ac:dyDescent="0.3">
      <c r="C102" s="24"/>
      <c r="D102" s="207" t="s">
        <v>100</v>
      </c>
      <c r="E102" s="208"/>
      <c r="F102" s="209"/>
      <c r="G102" s="12" t="s">
        <v>76</v>
      </c>
      <c r="H102" s="75">
        <v>2</v>
      </c>
      <c r="I102" s="57"/>
      <c r="J102" s="76">
        <f>H102*I102</f>
        <v>0</v>
      </c>
    </row>
    <row r="103" spans="3:10" x14ac:dyDescent="0.3">
      <c r="C103" s="24"/>
      <c r="D103" s="207" t="s">
        <v>101</v>
      </c>
      <c r="E103" s="208"/>
      <c r="F103" s="209"/>
      <c r="G103" s="12" t="s">
        <v>76</v>
      </c>
      <c r="H103" s="75">
        <v>6</v>
      </c>
      <c r="I103" s="57"/>
      <c r="J103" s="76">
        <f t="shared" ref="J103:J106" si="8">H103*I103</f>
        <v>0</v>
      </c>
    </row>
    <row r="104" spans="3:10" x14ac:dyDescent="0.3">
      <c r="C104" s="24"/>
      <c r="D104" s="207" t="s">
        <v>102</v>
      </c>
      <c r="E104" s="208"/>
      <c r="F104" s="209"/>
      <c r="G104" s="12" t="s">
        <v>76</v>
      </c>
      <c r="H104" s="75">
        <v>5</v>
      </c>
      <c r="I104" s="57"/>
      <c r="J104" s="76">
        <f t="shared" si="8"/>
        <v>0</v>
      </c>
    </row>
    <row r="105" spans="3:10" x14ac:dyDescent="0.3">
      <c r="C105" s="24"/>
      <c r="D105" s="207" t="s">
        <v>103</v>
      </c>
      <c r="E105" s="208"/>
      <c r="F105" s="209"/>
      <c r="G105" s="12" t="s">
        <v>76</v>
      </c>
      <c r="H105" s="75">
        <v>10</v>
      </c>
      <c r="I105" s="57"/>
      <c r="J105" s="76">
        <f t="shared" si="8"/>
        <v>0</v>
      </c>
    </row>
    <row r="106" spans="3:10" x14ac:dyDescent="0.3">
      <c r="C106" s="24"/>
      <c r="D106" s="207" t="s">
        <v>104</v>
      </c>
      <c r="E106" s="208"/>
      <c r="F106" s="209"/>
      <c r="G106" s="12" t="s">
        <v>76</v>
      </c>
      <c r="H106" s="75">
        <v>5</v>
      </c>
      <c r="I106" s="57"/>
      <c r="J106" s="76">
        <f t="shared" si="8"/>
        <v>0</v>
      </c>
    </row>
    <row r="107" spans="3:10" x14ac:dyDescent="0.3">
      <c r="C107" s="188" t="s">
        <v>105</v>
      </c>
      <c r="D107" s="189"/>
      <c r="E107" s="189"/>
      <c r="F107" s="189"/>
      <c r="G107" s="189"/>
      <c r="H107" s="190"/>
      <c r="I107" s="77"/>
      <c r="J107" s="49">
        <f>SUM(J96:J106)</f>
        <v>0</v>
      </c>
    </row>
    <row r="108" spans="3:10" ht="15" x14ac:dyDescent="0.3">
      <c r="C108" s="58" t="s">
        <v>106</v>
      </c>
      <c r="D108" s="191" t="s">
        <v>107</v>
      </c>
      <c r="E108" s="192"/>
      <c r="F108" s="193"/>
      <c r="G108" s="59" t="s">
        <v>108</v>
      </c>
      <c r="H108" s="60"/>
      <c r="I108" s="61"/>
      <c r="J108" s="62"/>
    </row>
    <row r="109" spans="3:10" ht="15" x14ac:dyDescent="0.3">
      <c r="C109" s="78"/>
      <c r="D109" s="239" t="s">
        <v>109</v>
      </c>
      <c r="E109" s="240"/>
      <c r="F109" s="241"/>
      <c r="G109" s="79" t="s">
        <v>110</v>
      </c>
      <c r="H109" s="79">
        <v>286</v>
      </c>
      <c r="I109" s="80">
        <v>2000</v>
      </c>
      <c r="J109" s="81">
        <f>H109*I109</f>
        <v>572000</v>
      </c>
    </row>
    <row r="110" spans="3:10" ht="15" x14ac:dyDescent="0.3">
      <c r="C110" s="78"/>
      <c r="D110" s="239" t="s">
        <v>111</v>
      </c>
      <c r="E110" s="240"/>
      <c r="F110" s="241"/>
      <c r="G110" s="79" t="s">
        <v>110</v>
      </c>
      <c r="H110" s="79">
        <v>65</v>
      </c>
      <c r="I110" s="80">
        <v>2000</v>
      </c>
      <c r="J110" s="81">
        <f t="shared" ref="J110:J112" si="9">H110*I110</f>
        <v>130000</v>
      </c>
    </row>
    <row r="111" spans="3:10" ht="15" x14ac:dyDescent="0.3">
      <c r="C111" s="78"/>
      <c r="D111" s="239" t="s">
        <v>112</v>
      </c>
      <c r="E111" s="240"/>
      <c r="F111" s="241"/>
      <c r="G111" s="79" t="s">
        <v>110</v>
      </c>
      <c r="H111" s="79">
        <v>176</v>
      </c>
      <c r="I111" s="80">
        <v>2000</v>
      </c>
      <c r="J111" s="81">
        <f t="shared" si="9"/>
        <v>352000</v>
      </c>
    </row>
    <row r="112" spans="3:10" ht="15" x14ac:dyDescent="0.3">
      <c r="C112" s="78"/>
      <c r="D112" s="239" t="s">
        <v>113</v>
      </c>
      <c r="E112" s="240"/>
      <c r="F112" s="241"/>
      <c r="G112" s="79" t="s">
        <v>110</v>
      </c>
      <c r="H112" s="79">
        <v>238</v>
      </c>
      <c r="I112" s="80">
        <v>2000</v>
      </c>
      <c r="J112" s="81">
        <f t="shared" si="9"/>
        <v>476000</v>
      </c>
    </row>
    <row r="113" spans="3:10" x14ac:dyDescent="0.3">
      <c r="C113" s="188" t="s">
        <v>114</v>
      </c>
      <c r="D113" s="189"/>
      <c r="E113" s="189"/>
      <c r="F113" s="189"/>
      <c r="G113" s="189"/>
      <c r="H113" s="190"/>
      <c r="I113" s="48"/>
      <c r="J113" s="82">
        <f>SUM(J109:J112)</f>
        <v>1530000</v>
      </c>
    </row>
    <row r="114" spans="3:10" ht="15" x14ac:dyDescent="0.3">
      <c r="C114" s="58" t="s">
        <v>115</v>
      </c>
      <c r="D114" s="191" t="s">
        <v>116</v>
      </c>
      <c r="E114" s="192"/>
      <c r="F114" s="193"/>
      <c r="G114" s="59"/>
      <c r="H114" s="60"/>
      <c r="I114" s="61"/>
      <c r="J114" s="62"/>
    </row>
    <row r="115" spans="3:10" s="85" customFormat="1" ht="15" x14ac:dyDescent="0.3">
      <c r="C115" s="83"/>
      <c r="D115" s="239" t="s">
        <v>117</v>
      </c>
      <c r="E115" s="240"/>
      <c r="F115" s="241"/>
      <c r="G115" s="84" t="s">
        <v>76</v>
      </c>
      <c r="H115" s="79">
        <v>4</v>
      </c>
      <c r="I115" s="80"/>
      <c r="J115" s="81">
        <f>H115*I115</f>
        <v>0</v>
      </c>
    </row>
    <row r="116" spans="3:10" s="85" customFormat="1" ht="15" x14ac:dyDescent="0.3">
      <c r="C116" s="83"/>
      <c r="D116" s="239" t="s">
        <v>118</v>
      </c>
      <c r="E116" s="240"/>
      <c r="F116" s="241"/>
      <c r="G116" s="84" t="s">
        <v>76</v>
      </c>
      <c r="H116" s="79">
        <v>2</v>
      </c>
      <c r="I116" s="80"/>
      <c r="J116" s="81">
        <f>H116*I116</f>
        <v>0</v>
      </c>
    </row>
    <row r="117" spans="3:10" s="85" customFormat="1" x14ac:dyDescent="0.3">
      <c r="C117" s="188" t="s">
        <v>119</v>
      </c>
      <c r="D117" s="189"/>
      <c r="E117" s="189"/>
      <c r="F117" s="189"/>
      <c r="G117" s="189"/>
      <c r="H117" s="190"/>
      <c r="I117" s="48"/>
      <c r="J117" s="49">
        <f>SUM(J115:J116)</f>
        <v>0</v>
      </c>
    </row>
    <row r="118" spans="3:10" ht="15" x14ac:dyDescent="0.3">
      <c r="C118" s="58" t="s">
        <v>120</v>
      </c>
      <c r="D118" s="191" t="s">
        <v>121</v>
      </c>
      <c r="E118" s="192"/>
      <c r="F118" s="193"/>
      <c r="G118" s="59"/>
      <c r="H118" s="60"/>
      <c r="I118" s="61"/>
      <c r="J118" s="62"/>
    </row>
    <row r="119" spans="3:10" x14ac:dyDescent="0.3">
      <c r="C119" s="24"/>
      <c r="D119" s="207" t="s">
        <v>122</v>
      </c>
      <c r="E119" s="208"/>
      <c r="F119" s="209"/>
      <c r="G119" s="12"/>
      <c r="H119" s="68"/>
      <c r="I119" s="57">
        <v>2000000</v>
      </c>
      <c r="J119" s="15">
        <f>I119</f>
        <v>2000000</v>
      </c>
    </row>
    <row r="120" spans="3:10" x14ac:dyDescent="0.3">
      <c r="C120" s="242" t="s">
        <v>123</v>
      </c>
      <c r="D120" s="243"/>
      <c r="E120" s="243"/>
      <c r="F120" s="243"/>
      <c r="G120" s="243"/>
      <c r="H120" s="244"/>
      <c r="I120" s="86"/>
      <c r="J120" s="87">
        <f>J119</f>
        <v>2000000</v>
      </c>
    </row>
    <row r="121" spans="3:10" ht="15" x14ac:dyDescent="0.3">
      <c r="C121" s="58" t="s">
        <v>124</v>
      </c>
      <c r="D121" s="191" t="s">
        <v>125</v>
      </c>
      <c r="E121" s="192"/>
      <c r="F121" s="193"/>
      <c r="G121" s="59"/>
      <c r="H121" s="60"/>
      <c r="I121" s="61"/>
      <c r="J121" s="62"/>
    </row>
    <row r="122" spans="3:10" x14ac:dyDescent="0.3">
      <c r="C122" s="88"/>
      <c r="D122" s="251" t="s">
        <v>126</v>
      </c>
      <c r="E122" s="252"/>
      <c r="F122" s="253"/>
      <c r="G122" s="65"/>
      <c r="H122" s="89"/>
      <c r="I122" s="66"/>
      <c r="J122" s="90"/>
    </row>
    <row r="123" spans="3:10" s="85" customFormat="1" x14ac:dyDescent="0.3">
      <c r="C123" s="91"/>
      <c r="D123" s="245" t="s">
        <v>127</v>
      </c>
      <c r="E123" s="246"/>
      <c r="F123" s="247"/>
      <c r="G123" s="79"/>
      <c r="H123" s="92"/>
      <c r="I123" s="80"/>
      <c r="J123" s="93"/>
    </row>
    <row r="124" spans="3:10" s="85" customFormat="1" x14ac:dyDescent="0.3">
      <c r="C124" s="91"/>
      <c r="D124" s="248" t="s">
        <v>128</v>
      </c>
      <c r="E124" s="249"/>
      <c r="F124" s="250"/>
      <c r="G124" s="79" t="s">
        <v>76</v>
      </c>
      <c r="H124" s="94">
        <v>3</v>
      </c>
      <c r="I124" s="80"/>
      <c r="J124" s="93">
        <f>H124*I124</f>
        <v>0</v>
      </c>
    </row>
    <row r="125" spans="3:10" s="85" customFormat="1" x14ac:dyDescent="0.3">
      <c r="C125" s="91"/>
      <c r="D125" s="248" t="s">
        <v>129</v>
      </c>
      <c r="E125" s="249"/>
      <c r="F125" s="250"/>
      <c r="G125" s="79" t="s">
        <v>76</v>
      </c>
      <c r="H125" s="94">
        <v>7</v>
      </c>
      <c r="I125" s="80"/>
      <c r="J125" s="93">
        <f t="shared" ref="J125:J148" si="10">H125*I125</f>
        <v>0</v>
      </c>
    </row>
    <row r="126" spans="3:10" s="85" customFormat="1" x14ac:dyDescent="0.3">
      <c r="C126" s="91"/>
      <c r="D126" s="248" t="s">
        <v>130</v>
      </c>
      <c r="E126" s="249"/>
      <c r="F126" s="250"/>
      <c r="G126" s="79" t="s">
        <v>76</v>
      </c>
      <c r="H126" s="94">
        <v>6</v>
      </c>
      <c r="I126" s="80"/>
      <c r="J126" s="93">
        <f t="shared" si="10"/>
        <v>0</v>
      </c>
    </row>
    <row r="127" spans="3:10" s="85" customFormat="1" x14ac:dyDescent="0.3">
      <c r="C127" s="91"/>
      <c r="D127" s="248" t="s">
        <v>131</v>
      </c>
      <c r="E127" s="249"/>
      <c r="F127" s="250"/>
      <c r="G127" s="79" t="s">
        <v>76</v>
      </c>
      <c r="H127" s="94">
        <v>6</v>
      </c>
      <c r="I127" s="80"/>
      <c r="J127" s="93">
        <f t="shared" si="10"/>
        <v>0</v>
      </c>
    </row>
    <row r="128" spans="3:10" s="85" customFormat="1" x14ac:dyDescent="0.3">
      <c r="C128" s="91"/>
      <c r="D128" s="248" t="s">
        <v>132</v>
      </c>
      <c r="E128" s="249"/>
      <c r="F128" s="250"/>
      <c r="G128" s="79" t="s">
        <v>76</v>
      </c>
      <c r="H128" s="94">
        <v>8</v>
      </c>
      <c r="I128" s="80"/>
      <c r="J128" s="93">
        <f t="shared" si="10"/>
        <v>0</v>
      </c>
    </row>
    <row r="129" spans="3:10" s="85" customFormat="1" x14ac:dyDescent="0.3">
      <c r="C129" s="91"/>
      <c r="D129" s="245" t="s">
        <v>133</v>
      </c>
      <c r="E129" s="246"/>
      <c r="F129" s="247"/>
      <c r="G129" s="79" t="s">
        <v>76</v>
      </c>
      <c r="H129" s="94">
        <v>6</v>
      </c>
      <c r="I129" s="80"/>
      <c r="J129" s="93">
        <f t="shared" si="10"/>
        <v>0</v>
      </c>
    </row>
    <row r="130" spans="3:10" s="85" customFormat="1" x14ac:dyDescent="0.3">
      <c r="C130" s="91"/>
      <c r="D130" s="248" t="s">
        <v>134</v>
      </c>
      <c r="E130" s="249"/>
      <c r="F130" s="250"/>
      <c r="G130" s="79" t="s">
        <v>135</v>
      </c>
      <c r="H130" s="94">
        <v>7</v>
      </c>
      <c r="I130" s="80"/>
      <c r="J130" s="93">
        <f t="shared" si="10"/>
        <v>0</v>
      </c>
    </row>
    <row r="131" spans="3:10" s="85" customFormat="1" x14ac:dyDescent="0.3">
      <c r="C131" s="91"/>
      <c r="D131" s="248" t="s">
        <v>136</v>
      </c>
      <c r="E131" s="249"/>
      <c r="F131" s="250"/>
      <c r="G131" s="79" t="s">
        <v>110</v>
      </c>
      <c r="H131" s="94">
        <v>10</v>
      </c>
      <c r="I131" s="80"/>
      <c r="J131" s="93">
        <f t="shared" si="10"/>
        <v>0</v>
      </c>
    </row>
    <row r="132" spans="3:10" s="85" customFormat="1" x14ac:dyDescent="0.3">
      <c r="C132" s="91"/>
      <c r="D132" s="248" t="s">
        <v>137</v>
      </c>
      <c r="E132" s="249"/>
      <c r="F132" s="250"/>
      <c r="G132" s="79" t="s">
        <v>76</v>
      </c>
      <c r="H132" s="94">
        <v>133</v>
      </c>
      <c r="I132" s="80"/>
      <c r="J132" s="93">
        <f t="shared" si="10"/>
        <v>0</v>
      </c>
    </row>
    <row r="133" spans="3:10" s="85" customFormat="1" x14ac:dyDescent="0.3">
      <c r="C133" s="91"/>
      <c r="D133" s="248" t="s">
        <v>138</v>
      </c>
      <c r="E133" s="249"/>
      <c r="F133" s="250"/>
      <c r="G133" s="79" t="s">
        <v>139</v>
      </c>
      <c r="H133" s="94">
        <v>7</v>
      </c>
      <c r="I133" s="80"/>
      <c r="J133" s="93">
        <f t="shared" si="10"/>
        <v>0</v>
      </c>
    </row>
    <row r="134" spans="3:10" s="85" customFormat="1" x14ac:dyDescent="0.3">
      <c r="C134" s="91"/>
      <c r="D134" s="248" t="s">
        <v>140</v>
      </c>
      <c r="E134" s="249"/>
      <c r="F134" s="250"/>
      <c r="G134" s="79" t="s">
        <v>76</v>
      </c>
      <c r="H134" s="94">
        <v>75</v>
      </c>
      <c r="I134" s="80"/>
      <c r="J134" s="93">
        <f t="shared" si="10"/>
        <v>0</v>
      </c>
    </row>
    <row r="135" spans="3:10" s="85" customFormat="1" x14ac:dyDescent="0.3">
      <c r="C135" s="91"/>
      <c r="D135" s="245" t="s">
        <v>141</v>
      </c>
      <c r="E135" s="246"/>
      <c r="F135" s="247"/>
      <c r="G135" s="79" t="s">
        <v>142</v>
      </c>
      <c r="H135" s="94">
        <v>0</v>
      </c>
      <c r="I135" s="80"/>
      <c r="J135" s="93">
        <f t="shared" si="10"/>
        <v>0</v>
      </c>
    </row>
    <row r="136" spans="3:10" s="85" customFormat="1" x14ac:dyDescent="0.3">
      <c r="C136" s="91"/>
      <c r="D136" s="248" t="s">
        <v>140</v>
      </c>
      <c r="E136" s="249"/>
      <c r="F136" s="250"/>
      <c r="G136" s="79" t="s">
        <v>76</v>
      </c>
      <c r="H136" s="94">
        <v>3</v>
      </c>
      <c r="I136" s="80"/>
      <c r="J136" s="93">
        <f t="shared" si="10"/>
        <v>0</v>
      </c>
    </row>
    <row r="137" spans="3:10" s="85" customFormat="1" x14ac:dyDescent="0.3">
      <c r="C137" s="91"/>
      <c r="D137" s="248" t="s">
        <v>143</v>
      </c>
      <c r="E137" s="249"/>
      <c r="F137" s="250"/>
      <c r="G137" s="79" t="s">
        <v>139</v>
      </c>
      <c r="H137" s="94">
        <v>0</v>
      </c>
      <c r="I137" s="80"/>
      <c r="J137" s="93">
        <f t="shared" si="10"/>
        <v>0</v>
      </c>
    </row>
    <row r="138" spans="3:10" s="85" customFormat="1" x14ac:dyDescent="0.3">
      <c r="C138" s="91"/>
      <c r="D138" s="248" t="s">
        <v>144</v>
      </c>
      <c r="E138" s="249"/>
      <c r="F138" s="250"/>
      <c r="G138" s="79" t="s">
        <v>87</v>
      </c>
      <c r="H138" s="94">
        <v>28</v>
      </c>
      <c r="I138" s="80"/>
      <c r="J138" s="93">
        <f t="shared" si="10"/>
        <v>0</v>
      </c>
    </row>
    <row r="139" spans="3:10" s="85" customFormat="1" x14ac:dyDescent="0.3">
      <c r="C139" s="91"/>
      <c r="D139" s="248" t="s">
        <v>138</v>
      </c>
      <c r="E139" s="249"/>
      <c r="F139" s="250"/>
      <c r="G139" s="79" t="s">
        <v>139</v>
      </c>
      <c r="H139" s="94">
        <v>0</v>
      </c>
      <c r="I139" s="80"/>
      <c r="J139" s="93">
        <f t="shared" si="10"/>
        <v>0</v>
      </c>
    </row>
    <row r="140" spans="3:10" s="85" customFormat="1" x14ac:dyDescent="0.3">
      <c r="C140" s="91"/>
      <c r="D140" s="248" t="s">
        <v>145</v>
      </c>
      <c r="E140" s="249"/>
      <c r="F140" s="250"/>
      <c r="G140" s="79" t="s">
        <v>110</v>
      </c>
      <c r="H140" s="94">
        <v>3</v>
      </c>
      <c r="I140" s="80"/>
      <c r="J140" s="93">
        <f t="shared" si="10"/>
        <v>0</v>
      </c>
    </row>
    <row r="141" spans="3:10" x14ac:dyDescent="0.3">
      <c r="C141" s="24"/>
      <c r="D141" s="207" t="s">
        <v>146</v>
      </c>
      <c r="E141" s="208"/>
      <c r="F141" s="209"/>
      <c r="G141" s="12" t="s">
        <v>87</v>
      </c>
      <c r="H141" s="68">
        <v>10</v>
      </c>
      <c r="I141" s="57"/>
      <c r="J141" s="93">
        <f t="shared" si="10"/>
        <v>0</v>
      </c>
    </row>
    <row r="142" spans="3:10" x14ac:dyDescent="0.3">
      <c r="C142" s="24"/>
      <c r="D142" s="207" t="s">
        <v>147</v>
      </c>
      <c r="E142" s="208"/>
      <c r="F142" s="209"/>
      <c r="G142" s="12" t="s">
        <v>76</v>
      </c>
      <c r="H142" s="68">
        <v>2</v>
      </c>
      <c r="I142" s="57"/>
      <c r="J142" s="93">
        <f t="shared" si="10"/>
        <v>0</v>
      </c>
    </row>
    <row r="143" spans="3:10" x14ac:dyDescent="0.3">
      <c r="C143" s="24"/>
      <c r="D143" s="264" t="s">
        <v>148</v>
      </c>
      <c r="E143" s="265"/>
      <c r="F143" s="266"/>
      <c r="G143" s="12"/>
      <c r="H143" s="68"/>
      <c r="I143" s="57"/>
      <c r="J143" s="93">
        <f t="shared" si="10"/>
        <v>0</v>
      </c>
    </row>
    <row r="144" spans="3:10" x14ac:dyDescent="0.3">
      <c r="C144" s="24"/>
      <c r="D144" s="207" t="s">
        <v>149</v>
      </c>
      <c r="E144" s="208"/>
      <c r="F144" s="209"/>
      <c r="G144" s="12" t="s">
        <v>76</v>
      </c>
      <c r="H144" s="68">
        <v>5</v>
      </c>
      <c r="I144" s="57"/>
      <c r="J144" s="93">
        <f t="shared" si="10"/>
        <v>0</v>
      </c>
    </row>
    <row r="145" spans="3:10" x14ac:dyDescent="0.3">
      <c r="C145" s="24"/>
      <c r="D145" s="207" t="s">
        <v>150</v>
      </c>
      <c r="E145" s="208"/>
      <c r="F145" s="209"/>
      <c r="G145" s="12" t="s">
        <v>76</v>
      </c>
      <c r="H145" s="68">
        <v>1</v>
      </c>
      <c r="I145" s="57"/>
      <c r="J145" s="93">
        <f t="shared" si="10"/>
        <v>0</v>
      </c>
    </row>
    <row r="146" spans="3:10" x14ac:dyDescent="0.3">
      <c r="C146" s="24"/>
      <c r="D146" s="207" t="s">
        <v>151</v>
      </c>
      <c r="E146" s="208"/>
      <c r="F146" s="209"/>
      <c r="G146" s="12" t="s">
        <v>76</v>
      </c>
      <c r="H146" s="68">
        <v>5</v>
      </c>
      <c r="I146" s="57"/>
      <c r="J146" s="93">
        <f t="shared" si="10"/>
        <v>0</v>
      </c>
    </row>
    <row r="147" spans="3:10" x14ac:dyDescent="0.3">
      <c r="C147" s="24"/>
      <c r="D147" s="264" t="s">
        <v>152</v>
      </c>
      <c r="E147" s="265"/>
      <c r="F147" s="266"/>
      <c r="G147" s="12"/>
      <c r="H147" s="68"/>
      <c r="I147" s="57"/>
      <c r="J147" s="93">
        <f t="shared" si="10"/>
        <v>0</v>
      </c>
    </row>
    <row r="148" spans="3:10" x14ac:dyDescent="0.3">
      <c r="C148" s="24"/>
      <c r="D148" s="207" t="s">
        <v>153</v>
      </c>
      <c r="E148" s="208"/>
      <c r="F148" s="209"/>
      <c r="G148" s="12" t="s">
        <v>87</v>
      </c>
      <c r="H148" s="68"/>
      <c r="I148" s="57"/>
      <c r="J148" s="93">
        <f t="shared" si="10"/>
        <v>0</v>
      </c>
    </row>
    <row r="149" spans="3:10" ht="15" thickBot="1" x14ac:dyDescent="0.35">
      <c r="C149" s="267" t="s">
        <v>154</v>
      </c>
      <c r="D149" s="268"/>
      <c r="E149" s="268"/>
      <c r="F149" s="268"/>
      <c r="G149" s="268"/>
      <c r="H149" s="269"/>
      <c r="I149" s="95"/>
      <c r="J149" s="96">
        <f>SUM(J124:J148)*2</f>
        <v>0</v>
      </c>
    </row>
    <row r="150" spans="3:10" ht="15" thickBot="1" x14ac:dyDescent="0.35">
      <c r="C150" s="270"/>
      <c r="D150" s="271"/>
      <c r="E150" s="271"/>
      <c r="F150" s="271"/>
      <c r="G150" s="271"/>
      <c r="H150" s="271"/>
      <c r="I150" s="271"/>
      <c r="J150" s="272"/>
    </row>
    <row r="151" spans="3:10" ht="21" thickBot="1" x14ac:dyDescent="0.35">
      <c r="C151" s="273" t="s">
        <v>155</v>
      </c>
      <c r="D151" s="274"/>
      <c r="E151" s="274"/>
      <c r="F151" s="274"/>
      <c r="G151" s="274"/>
      <c r="H151" s="274"/>
      <c r="I151" s="275"/>
      <c r="J151" s="97">
        <f>J8+J16+J50+J68+J73+J83+J93+J107+J113+J117+J120+J149</f>
        <v>50709923.281999998</v>
      </c>
    </row>
    <row r="152" spans="3:10" ht="21" thickBot="1" x14ac:dyDescent="0.35">
      <c r="C152" s="254" t="s">
        <v>156</v>
      </c>
      <c r="D152" s="255"/>
      <c r="E152" s="255"/>
      <c r="F152" s="255"/>
      <c r="G152" s="255"/>
      <c r="H152" s="255"/>
      <c r="I152" s="256"/>
      <c r="J152" s="98">
        <f>J151*0.06</f>
        <v>3042595.3969199997</v>
      </c>
    </row>
    <row r="153" spans="3:10" ht="21" thickBot="1" x14ac:dyDescent="0.35">
      <c r="C153" s="254" t="s">
        <v>157</v>
      </c>
      <c r="D153" s="255"/>
      <c r="E153" s="255"/>
      <c r="F153" s="255"/>
      <c r="G153" s="255"/>
      <c r="H153" s="255"/>
      <c r="I153" s="255"/>
      <c r="J153" s="99">
        <f>0.05*J151</f>
        <v>2535496.1641000002</v>
      </c>
    </row>
    <row r="154" spans="3:10" ht="21" thickBot="1" x14ac:dyDescent="0.35">
      <c r="C154" s="257" t="s">
        <v>158</v>
      </c>
      <c r="D154" s="258"/>
      <c r="E154" s="258"/>
      <c r="F154" s="258"/>
      <c r="G154" s="258"/>
      <c r="H154" s="258"/>
      <c r="I154" s="259"/>
      <c r="J154" s="100">
        <f>SUM(J151:J153)</f>
        <v>56288014.84302</v>
      </c>
    </row>
    <row r="155" spans="3:10" ht="14.4" customHeight="1" x14ac:dyDescent="0.3">
      <c r="C155" s="260"/>
      <c r="D155" s="261"/>
      <c r="E155" s="261"/>
      <c r="F155" s="261"/>
      <c r="G155" s="261"/>
      <c r="H155" s="261"/>
      <c r="I155" s="261"/>
      <c r="J155" s="261"/>
    </row>
    <row r="156" spans="3:10" ht="14.4" customHeight="1" x14ac:dyDescent="0.3">
      <c r="C156" s="262"/>
      <c r="D156" s="263"/>
      <c r="E156" s="263"/>
      <c r="F156" s="263"/>
      <c r="G156" s="263"/>
      <c r="H156" s="263"/>
      <c r="I156" s="263"/>
      <c r="J156" s="263"/>
    </row>
  </sheetData>
  <mergeCells count="154">
    <mergeCell ref="C152:I152"/>
    <mergeCell ref="C153:I153"/>
    <mergeCell ref="C154:I154"/>
    <mergeCell ref="C155:J156"/>
    <mergeCell ref="D49:F49"/>
    <mergeCell ref="D146:F146"/>
    <mergeCell ref="D147:F147"/>
    <mergeCell ref="D148:F148"/>
    <mergeCell ref="C149:H149"/>
    <mergeCell ref="C150:J150"/>
    <mergeCell ref="C151:I151"/>
    <mergeCell ref="D140:F140"/>
    <mergeCell ref="D141:F141"/>
    <mergeCell ref="D142:F142"/>
    <mergeCell ref="D143:F143"/>
    <mergeCell ref="D144:F144"/>
    <mergeCell ref="D145:F145"/>
    <mergeCell ref="D134:F134"/>
    <mergeCell ref="D135:F135"/>
    <mergeCell ref="D136:F136"/>
    <mergeCell ref="D137:F137"/>
    <mergeCell ref="D138:F138"/>
    <mergeCell ref="D139:F139"/>
    <mergeCell ref="D128:F128"/>
    <mergeCell ref="D129:F129"/>
    <mergeCell ref="D130:F130"/>
    <mergeCell ref="D131:F131"/>
    <mergeCell ref="D132:F132"/>
    <mergeCell ref="D133:F133"/>
    <mergeCell ref="D122:F122"/>
    <mergeCell ref="D123:F123"/>
    <mergeCell ref="D124:F124"/>
    <mergeCell ref="D125:F125"/>
    <mergeCell ref="D126:F126"/>
    <mergeCell ref="D127:F127"/>
    <mergeCell ref="D116:F116"/>
    <mergeCell ref="C117:H117"/>
    <mergeCell ref="D118:F118"/>
    <mergeCell ref="D119:F119"/>
    <mergeCell ref="C120:H120"/>
    <mergeCell ref="D121:F121"/>
    <mergeCell ref="D110:F110"/>
    <mergeCell ref="D111:F111"/>
    <mergeCell ref="D112:F112"/>
    <mergeCell ref="C113:H113"/>
    <mergeCell ref="D114:F114"/>
    <mergeCell ref="D115:F115"/>
    <mergeCell ref="D104:F104"/>
    <mergeCell ref="D105:F105"/>
    <mergeCell ref="D106:F106"/>
    <mergeCell ref="C107:H107"/>
    <mergeCell ref="D108:F108"/>
    <mergeCell ref="D109:F109"/>
    <mergeCell ref="D98:F98"/>
    <mergeCell ref="D99:F99"/>
    <mergeCell ref="D100:F100"/>
    <mergeCell ref="D101:F101"/>
    <mergeCell ref="D102:F102"/>
    <mergeCell ref="D103:F103"/>
    <mergeCell ref="D92:F92"/>
    <mergeCell ref="C93:H93"/>
    <mergeCell ref="D94:F94"/>
    <mergeCell ref="D95:F95"/>
    <mergeCell ref="D96:F96"/>
    <mergeCell ref="D97:F97"/>
    <mergeCell ref="D86:F86"/>
    <mergeCell ref="D87:F87"/>
    <mergeCell ref="D88:F88"/>
    <mergeCell ref="D89:F89"/>
    <mergeCell ref="D90:F90"/>
    <mergeCell ref="D91:F91"/>
    <mergeCell ref="D80:F80"/>
    <mergeCell ref="D81:F81"/>
    <mergeCell ref="D82:F82"/>
    <mergeCell ref="C83:H83"/>
    <mergeCell ref="D84:F84"/>
    <mergeCell ref="D85:F85"/>
    <mergeCell ref="D74:F74"/>
    <mergeCell ref="D75:F75"/>
    <mergeCell ref="D76:F76"/>
    <mergeCell ref="D77:F77"/>
    <mergeCell ref="D78:F78"/>
    <mergeCell ref="D79:F79"/>
    <mergeCell ref="C68:H68"/>
    <mergeCell ref="C69:J69"/>
    <mergeCell ref="D70:F70"/>
    <mergeCell ref="D71:F71"/>
    <mergeCell ref="D72:F72"/>
    <mergeCell ref="C73:H73"/>
    <mergeCell ref="D62:F62"/>
    <mergeCell ref="D63:F63"/>
    <mergeCell ref="D64:F64"/>
    <mergeCell ref="D65:F65"/>
    <mergeCell ref="D66:F66"/>
    <mergeCell ref="D67:F67"/>
    <mergeCell ref="D56:F56"/>
    <mergeCell ref="D57:F57"/>
    <mergeCell ref="D58:F58"/>
    <mergeCell ref="D59:F59"/>
    <mergeCell ref="D60:F60"/>
    <mergeCell ref="D61:F61"/>
    <mergeCell ref="C50:H50"/>
    <mergeCell ref="D51:F51"/>
    <mergeCell ref="D52:F52"/>
    <mergeCell ref="D53:F53"/>
    <mergeCell ref="D54:F54"/>
    <mergeCell ref="D55:F55"/>
    <mergeCell ref="D44:F44"/>
    <mergeCell ref="D45:F45"/>
    <mergeCell ref="D46:F46"/>
    <mergeCell ref="D47:F47"/>
    <mergeCell ref="D48:F48"/>
    <mergeCell ref="D38:F38"/>
    <mergeCell ref="D39:F39"/>
    <mergeCell ref="D40:F40"/>
    <mergeCell ref="D41:F41"/>
    <mergeCell ref="D42:F42"/>
    <mergeCell ref="D43:F43"/>
    <mergeCell ref="C32:H32"/>
    <mergeCell ref="D33:F33"/>
    <mergeCell ref="D34:F34"/>
    <mergeCell ref="D35:F35"/>
    <mergeCell ref="D36:F36"/>
    <mergeCell ref="D37:F37"/>
    <mergeCell ref="D26:F26"/>
    <mergeCell ref="D27:F27"/>
    <mergeCell ref="D28:F28"/>
    <mergeCell ref="D29:F29"/>
    <mergeCell ref="D30:F30"/>
    <mergeCell ref="D31:F31"/>
    <mergeCell ref="D20:F20"/>
    <mergeCell ref="D21:F21"/>
    <mergeCell ref="D22:F22"/>
    <mergeCell ref="D23:F23"/>
    <mergeCell ref="D24:F24"/>
    <mergeCell ref="D25:F25"/>
    <mergeCell ref="D14:F14"/>
    <mergeCell ref="D15:F15"/>
    <mergeCell ref="C16:H16"/>
    <mergeCell ref="D17:F17"/>
    <mergeCell ref="D18:F18"/>
    <mergeCell ref="D19:F19"/>
    <mergeCell ref="C8:H8"/>
    <mergeCell ref="D9:F9"/>
    <mergeCell ref="D10:F10"/>
    <mergeCell ref="D11:F11"/>
    <mergeCell ref="D12:F12"/>
    <mergeCell ref="D13:F13"/>
    <mergeCell ref="C1:J1"/>
    <mergeCell ref="D3:F3"/>
    <mergeCell ref="D4:F4"/>
    <mergeCell ref="D5:F5"/>
    <mergeCell ref="D6:F6"/>
    <mergeCell ref="D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Avant métré</vt:lpstr>
      <vt:lpstr>DQE</vt:lpstr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2023-06-29T07:57:29Z</dcterms:modified>
</cp:coreProperties>
</file>