
<file path=[Content_Types].xml><?xml version="1.0" encoding="utf-8"?>
<Types xmlns="http://schemas.openxmlformats.org/package/2006/content-types">
  <Override PartName="/xl/embeddings/oleObject8.bin" ContentType="application/vnd.openxmlformats-officedocument.oleObject"/>
  <Override PartName="/xl/embeddings/oleObject43.bin" ContentType="application/vnd.openxmlformats-officedocument.oleObject"/>
  <Override PartName="/xl/embeddings/oleObject90.bin" ContentType="application/vnd.openxmlformats-officedocument.oleObject"/>
  <Override PartName="/xl/embeddings/oleObject131.bin" ContentType="application/vnd.openxmlformats-officedocument.oleObject"/>
  <Override PartName="/xl/embeddings/oleObject142.bin" ContentType="application/vnd.openxmlformats-officedocument.oleObject"/>
  <Override PartName="/xl/styles.xml" ContentType="application/vnd.openxmlformats-officedocument.spreadsheetml.styles+xml"/>
  <Override PartName="/xl/embeddings/oleObject21.bin" ContentType="application/vnd.openxmlformats-officedocument.oleObject"/>
  <Override PartName="/xl/embeddings/oleObject32.bin" ContentType="application/vnd.openxmlformats-officedocument.oleObject"/>
  <Override PartName="/xl/embeddings/oleObject120.bin" ContentType="application/vnd.openxmlformats-officedocument.oleObject"/>
  <Override PartName="/xl/embeddings/oleObject218.bin" ContentType="application/vnd.openxmlformats-officedocument.oleObject"/>
  <Override PartName="/xl/embeddings/oleObject10.bin" ContentType="application/vnd.openxmlformats-officedocument.oleObject"/>
  <Override PartName="/xl/embeddings/oleObject207.bin" ContentType="application/vnd.openxmlformats-officedocument.oleObject"/>
  <Default Extension="xml" ContentType="application/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embeddings/oleObject169.bin" ContentType="application/vnd.openxmlformats-officedocument.oleObject"/>
  <Override PartName="/xl/embeddings/oleObject221.bin" ContentType="application/vnd.openxmlformats-officedocument.oleObject"/>
  <Override PartName="/xl/embeddings/oleObject48.bin" ContentType="application/vnd.openxmlformats-officedocument.oleObject"/>
  <Override PartName="/xl/embeddings/oleObject59.bin" ContentType="application/vnd.openxmlformats-officedocument.oleObject"/>
  <Override PartName="/xl/embeddings/oleObject95.bin" ContentType="application/vnd.openxmlformats-officedocument.oleObject"/>
  <Override PartName="/xl/embeddings/oleObject147.bin" ContentType="application/vnd.openxmlformats-officedocument.oleObject"/>
  <Override PartName="/xl/embeddings/oleObject158.bin" ContentType="application/vnd.openxmlformats-officedocument.oleObject"/>
  <Override PartName="/xl/embeddings/oleObject194.bin" ContentType="application/vnd.openxmlformats-officedocument.oleObject"/>
  <Override PartName="/xl/embeddings/oleObject210.bin" ContentType="application/vnd.openxmlformats-officedocument.oleObject"/>
  <Override PartName="/xl/embeddings/oleObject37.bin" ContentType="application/vnd.openxmlformats-officedocument.oleObject"/>
  <Override PartName="/xl/embeddings/oleObject84.bin" ContentType="application/vnd.openxmlformats-officedocument.oleObject"/>
  <Override PartName="/xl/embeddings/oleObject136.bin" ContentType="application/vnd.openxmlformats-officedocument.oleObject"/>
  <Override PartName="/xl/embeddings/oleObject183.bin" ContentType="application/vnd.openxmlformats-officedocument.oleObject"/>
  <Override PartName="/xl/embeddings/oleObject26.bin" ContentType="application/vnd.openxmlformats-officedocument.oleObject"/>
  <Override PartName="/xl/embeddings/oleObject73.bin" ContentType="application/vnd.openxmlformats-officedocument.oleObject"/>
  <Override PartName="/xl/embeddings/oleObject125.bin" ContentType="application/vnd.openxmlformats-officedocument.oleObject"/>
  <Override PartName="/xl/embeddings/oleObject172.bin" ContentType="application/vnd.openxmlformats-officedocument.oleObject"/>
  <Override PartName="/xl/embeddings/oleObject15.bin" ContentType="application/vnd.openxmlformats-officedocument.oleObject"/>
  <Override PartName="/xl/embeddings/oleObject62.bin" ContentType="application/vnd.openxmlformats-officedocument.oleObject"/>
  <Override PartName="/xl/embeddings/oleObject103.bin" ContentType="application/vnd.openxmlformats-officedocument.oleObject"/>
  <Override PartName="/xl/embeddings/oleObject114.bin" ContentType="application/vnd.openxmlformats-officedocument.oleObject"/>
  <Override PartName="/xl/embeddings/oleObject150.bin" ContentType="application/vnd.openxmlformats-officedocument.oleObject"/>
  <Override PartName="/xl/embeddings/oleObject161.bin" ContentType="application/vnd.openxmlformats-officedocument.oleObject"/>
  <Override PartName="/xl/embeddings/oleObject5.bin" ContentType="application/vnd.openxmlformats-officedocument.oleObject"/>
  <Override PartName="/xl/embeddings/oleObject40.bin" ContentType="application/vnd.openxmlformats-officedocument.oleObject"/>
  <Override PartName="/xl/embeddings/oleObject51.bin" ContentType="application/vnd.openxmlformats-officedocument.oleObject"/>
  <Override PartName="/xl/worksheets/sheet8.xml" ContentType="application/vnd.openxmlformats-officedocument.spreadsheetml.worksheet+xml"/>
  <Override PartName="/xl/embeddings/oleObject11.bin" ContentType="application/vnd.openxmlformats-officedocument.oleObject"/>
  <Override PartName="/xl/embeddings/oleObject215.bin" ContentType="application/vnd.openxmlformats-officedocument.oleObject"/>
  <Default Extension="emf" ContentType="image/x-emf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mbeddings/oleObject1.bin" ContentType="application/vnd.openxmlformats-officedocument.oleObject"/>
  <Override PartName="/xl/embeddings/oleObject199.bin" ContentType="application/vnd.openxmlformats-officedocument.oleObject"/>
  <Override PartName="/xl/embeddings/oleObject204.bin" ContentType="application/vnd.openxmlformats-officedocument.oleObject"/>
  <Override PartName="/xl/embeddings/oleObject222.bin" ContentType="application/vnd.openxmlformats-officedocument.oleObject"/>
  <Override PartName="/xl/charts/chart1.xml" ContentType="application/vnd.openxmlformats-officedocument.drawingml.chart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embeddings/oleObject89.bin" ContentType="application/vnd.openxmlformats-officedocument.oleObject"/>
  <Override PartName="/xl/embeddings/oleObject159.bin" ContentType="application/vnd.openxmlformats-officedocument.oleObject"/>
  <Override PartName="/xl/embeddings/oleObject177.bin" ContentType="application/vnd.openxmlformats-officedocument.oleObject"/>
  <Override PartName="/xl/embeddings/oleObject188.bin" ContentType="application/vnd.openxmlformats-officedocument.oleObject"/>
  <Override PartName="/xl/embeddings/oleObject211.bin" ContentType="application/vnd.openxmlformats-officedocument.oleObject"/>
  <Default Extension="vml" ContentType="application/vnd.openxmlformats-officedocument.vmlDrawing"/>
  <Override PartName="/xl/embeddings/oleObject49.bin" ContentType="application/vnd.openxmlformats-officedocument.oleObject"/>
  <Override PartName="/xl/embeddings/oleObject67.bin" ContentType="application/vnd.openxmlformats-officedocument.oleObject"/>
  <Override PartName="/xl/embeddings/oleObject78.bin" ContentType="application/vnd.openxmlformats-officedocument.oleObject"/>
  <Override PartName="/xl/embeddings/oleObject96.bin" ContentType="application/vnd.openxmlformats-officedocument.oleObject"/>
  <Override PartName="/xl/embeddings/oleObject119.bin" ContentType="application/vnd.openxmlformats-officedocument.oleObject"/>
  <Override PartName="/xl/embeddings/oleObject148.bin" ContentType="application/vnd.openxmlformats-officedocument.oleObject"/>
  <Override PartName="/xl/embeddings/oleObject166.bin" ContentType="application/vnd.openxmlformats-officedocument.oleObject"/>
  <Override PartName="/xl/embeddings/oleObject195.bin" ContentType="application/vnd.openxmlformats-officedocument.oleObject"/>
  <Override PartName="/xl/embeddings/oleObject200.bin" ContentType="application/vnd.openxmlformats-officedocument.oleObject"/>
  <Override PartName="/xl/calcChain.xml" ContentType="application/vnd.openxmlformats-officedocument.spreadsheetml.calcChain+xml"/>
  <Override PartName="/xl/embeddings/oleObject38.bin" ContentType="application/vnd.openxmlformats-officedocument.oleObject"/>
  <Override PartName="/xl/embeddings/oleObject56.bin" ContentType="application/vnd.openxmlformats-officedocument.oleObject"/>
  <Override PartName="/xl/embeddings/oleObject85.bin" ContentType="application/vnd.openxmlformats-officedocument.oleObject"/>
  <Override PartName="/xl/embeddings/oleObject108.bin" ContentType="application/vnd.openxmlformats-officedocument.oleObject"/>
  <Override PartName="/xl/embeddings/oleObject126.bin" ContentType="application/vnd.openxmlformats-officedocument.oleObject"/>
  <Override PartName="/xl/embeddings/oleObject137.bin" ContentType="application/vnd.openxmlformats-officedocument.oleObject"/>
  <Override PartName="/xl/embeddings/oleObject155.bin" ContentType="application/vnd.openxmlformats-officedocument.oleObject"/>
  <Override PartName="/xl/embeddings/oleObject173.bin" ContentType="application/vnd.openxmlformats-officedocument.oleObject"/>
  <Override PartName="/xl/embeddings/oleObject184.bin" ContentType="application/vnd.openxmlformats-officedocument.oleObject"/>
  <Override PartName="/xl/embeddings/oleObject16.bin" ContentType="application/vnd.openxmlformats-officedocument.oleObject"/>
  <Override PartName="/xl/embeddings/oleObject27.bin" ContentType="application/vnd.openxmlformats-officedocument.oleObject"/>
  <Override PartName="/xl/embeddings/oleObject45.bin" ContentType="application/vnd.openxmlformats-officedocument.oleObject"/>
  <Override PartName="/xl/embeddings/oleObject63.bin" ContentType="application/vnd.openxmlformats-officedocument.oleObject"/>
  <Override PartName="/xl/embeddings/oleObject74.bin" ContentType="application/vnd.openxmlformats-officedocument.oleObject"/>
  <Override PartName="/xl/embeddings/oleObject92.bin" ContentType="application/vnd.openxmlformats-officedocument.oleObject"/>
  <Override PartName="/xl/embeddings/oleObject115.bin" ContentType="application/vnd.openxmlformats-officedocument.oleObject"/>
  <Override PartName="/xl/embeddings/oleObject133.bin" ContentType="application/vnd.openxmlformats-officedocument.oleObject"/>
  <Override PartName="/xl/embeddings/oleObject144.bin" ContentType="application/vnd.openxmlformats-officedocument.oleObject"/>
  <Override PartName="/xl/embeddings/oleObject162.bin" ContentType="application/vnd.openxmlformats-officedocument.oleObject"/>
  <Override PartName="/xl/embeddings/oleObject180.bin" ContentType="application/vnd.openxmlformats-officedocument.oleObject"/>
  <Override PartName="/xl/embeddings/oleObject191.bin" ContentType="application/vnd.openxmlformats-officedocument.oleObject"/>
  <Override PartName="/docProps/core.xml" ContentType="application/vnd.openxmlformats-package.core-properties+xml"/>
  <Override PartName="/xl/embeddings/oleObject23.bin" ContentType="application/vnd.openxmlformats-officedocument.oleObject"/>
  <Override PartName="/xl/embeddings/oleObject34.bin" ContentType="application/vnd.openxmlformats-officedocument.oleObject"/>
  <Override PartName="/xl/embeddings/oleObject52.bin" ContentType="application/vnd.openxmlformats-officedocument.oleObject"/>
  <Override PartName="/xl/embeddings/oleObject70.bin" ContentType="application/vnd.openxmlformats-officedocument.oleObject"/>
  <Override PartName="/xl/embeddings/oleObject81.bin" ContentType="application/vnd.openxmlformats-officedocument.oleObject"/>
  <Override PartName="/xl/embeddings/oleObject104.bin" ContentType="application/vnd.openxmlformats-officedocument.oleObject"/>
  <Override PartName="/xl/embeddings/oleObject122.bin" ContentType="application/vnd.openxmlformats-officedocument.oleObject"/>
  <Override PartName="/xl/embeddings/oleObject151.bin" ContentType="application/vnd.openxmlformats-officedocument.oleObject"/>
  <Override PartName="/xl/theme/theme1.xml" ContentType="application/vnd.openxmlformats-officedocument.theme+xml"/>
  <Override PartName="/xl/embeddings/oleObject6.bin" ContentType="application/vnd.openxmlformats-officedocument.oleObject"/>
  <Override PartName="/xl/embeddings/oleObject12.bin" ContentType="application/vnd.openxmlformats-officedocument.oleObject"/>
  <Override PartName="/xl/embeddings/oleObject41.bin" ContentType="application/vnd.openxmlformats-officedocument.oleObject"/>
  <Override PartName="/xl/embeddings/oleObject111.bin" ContentType="application/vnd.openxmlformats-officedocument.oleObject"/>
  <Override PartName="/xl/embeddings/oleObject140.bin" ContentType="application/vnd.openxmlformats-officedocument.oleObject"/>
  <Override PartName="/xl/embeddings/oleObject209.bin" ContentType="application/vnd.openxmlformats-officedocument.oleObject"/>
  <Override PartName="/xl/embeddings/oleObject30.bin" ContentType="application/vnd.openxmlformats-officedocument.oleObject"/>
  <Override PartName="/xl/embeddings/oleObject100.bin" ContentType="application/vnd.openxmlformats-officedocument.oleObject"/>
  <Override PartName="/xl/embeddings/oleObject216.bin" ContentType="application/vnd.openxmlformats-officedocument.oleObject"/>
  <Default Extension="wmf" ContentType="image/x-wmf"/>
  <Override PartName="/xl/charts/chart2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embeddings/oleObject2.bin" ContentType="application/vnd.openxmlformats-officedocument.oleObject"/>
  <Override PartName="/xl/embeddings/oleObject189.bin" ContentType="application/vnd.openxmlformats-officedocument.oleObject"/>
  <Override PartName="/xl/embeddings/oleObject205.bin" ContentType="application/vnd.openxmlformats-officedocument.oleObject"/>
  <Override PartName="/xl/embeddings/oleObject223.bin" ContentType="application/vnd.openxmlformats-officedocument.oleObject"/>
  <Override PartName="/xl/embeddings/oleObject79.bin" ContentType="application/vnd.openxmlformats-officedocument.oleObject"/>
  <Override PartName="/xl/embeddings/oleObject149.bin" ContentType="application/vnd.openxmlformats-officedocument.oleObject"/>
  <Override PartName="/xl/embeddings/oleObject178.bin" ContentType="application/vnd.openxmlformats-officedocument.oleObject"/>
  <Override PartName="/xl/embeddings/oleObject196.bin" ContentType="application/vnd.openxmlformats-officedocument.oleObject"/>
  <Override PartName="/xl/embeddings/oleObject201.bin" ContentType="application/vnd.openxmlformats-officedocument.oleObject"/>
  <Override PartName="/xl/embeddings/oleObject212.bin" ContentType="application/vnd.openxmlformats-officedocument.oleObject"/>
  <Override PartName="/xl/worksheets/sheet1.xml" ContentType="application/vnd.openxmlformats-officedocument.spreadsheetml.worksheet+xml"/>
  <Override PartName="/xl/embeddings/oleObject39.bin" ContentType="application/vnd.openxmlformats-officedocument.oleObject"/>
  <Override PartName="/xl/embeddings/oleObject68.bin" ContentType="application/vnd.openxmlformats-officedocument.oleObject"/>
  <Override PartName="/xl/embeddings/oleObject86.bin" ContentType="application/vnd.openxmlformats-officedocument.oleObject"/>
  <Override PartName="/xl/embeddings/oleObject97.bin" ContentType="application/vnd.openxmlformats-officedocument.oleObject"/>
  <Override PartName="/xl/embeddings/oleObject109.bin" ContentType="application/vnd.openxmlformats-officedocument.oleObject"/>
  <Override PartName="/xl/embeddings/oleObject138.bin" ContentType="application/vnd.openxmlformats-officedocument.oleObject"/>
  <Override PartName="/xl/embeddings/oleObject156.bin" ContentType="application/vnd.openxmlformats-officedocument.oleObject"/>
  <Override PartName="/xl/embeddings/oleObject167.bin" ContentType="application/vnd.openxmlformats-officedocument.oleObject"/>
  <Override PartName="/xl/embeddings/oleObject185.bin" ContentType="application/vnd.openxmlformats-officedocument.oleObject"/>
  <Override PartName="/xl/embeddings/oleObject28.bin" ContentType="application/vnd.openxmlformats-officedocument.oleObject"/>
  <Override PartName="/xl/embeddings/oleObject46.bin" ContentType="application/vnd.openxmlformats-officedocument.oleObject"/>
  <Override PartName="/xl/embeddings/oleObject57.bin" ContentType="application/vnd.openxmlformats-officedocument.oleObject"/>
  <Override PartName="/xl/embeddings/oleObject75.bin" ContentType="application/vnd.openxmlformats-officedocument.oleObject"/>
  <Override PartName="/xl/embeddings/oleObject93.bin" ContentType="application/vnd.openxmlformats-officedocument.oleObject"/>
  <Override PartName="/xl/embeddings/oleObject127.bin" ContentType="application/vnd.openxmlformats-officedocument.oleObject"/>
  <Override PartName="/xl/embeddings/oleObject145.bin" ContentType="application/vnd.openxmlformats-officedocument.oleObject"/>
  <Override PartName="/xl/embeddings/oleObject174.bin" ContentType="application/vnd.openxmlformats-officedocument.oleObject"/>
  <Override PartName="/xl/embeddings/oleObject192.bin" ContentType="application/vnd.openxmlformats-officedocument.oleObject"/>
  <Override PartName="/xl/embeddings/oleObject17.bin" ContentType="application/vnd.openxmlformats-officedocument.oleObject"/>
  <Override PartName="/xl/embeddings/oleObject35.bin" ContentType="application/vnd.openxmlformats-officedocument.oleObject"/>
  <Override PartName="/xl/embeddings/oleObject64.bin" ContentType="application/vnd.openxmlformats-officedocument.oleObject"/>
  <Override PartName="/xl/embeddings/oleObject82.bin" ContentType="application/vnd.openxmlformats-officedocument.oleObject"/>
  <Override PartName="/xl/embeddings/oleObject105.bin" ContentType="application/vnd.openxmlformats-officedocument.oleObject"/>
  <Override PartName="/xl/embeddings/oleObject116.bin" ContentType="application/vnd.openxmlformats-officedocument.oleObject"/>
  <Override PartName="/xl/embeddings/oleObject134.bin" ContentType="application/vnd.openxmlformats-officedocument.oleObject"/>
  <Override PartName="/xl/embeddings/oleObject152.bin" ContentType="application/vnd.openxmlformats-officedocument.oleObject"/>
  <Override PartName="/xl/embeddings/oleObject163.bin" ContentType="application/vnd.openxmlformats-officedocument.oleObject"/>
  <Override PartName="/xl/embeddings/oleObject181.bin" ContentType="application/vnd.openxmlformats-officedocument.oleObject"/>
  <Override PartName="/xl/embeddings/oleObject7.bin" ContentType="application/vnd.openxmlformats-officedocument.oleObject"/>
  <Override PartName="/xl/embeddings/oleObject24.bin" ContentType="application/vnd.openxmlformats-officedocument.oleObject"/>
  <Override PartName="/xl/embeddings/oleObject42.bin" ContentType="application/vnd.openxmlformats-officedocument.oleObject"/>
  <Override PartName="/xl/embeddings/oleObject53.bin" ContentType="application/vnd.openxmlformats-officedocument.oleObject"/>
  <Override PartName="/xl/embeddings/oleObject71.bin" ContentType="application/vnd.openxmlformats-officedocument.oleObject"/>
  <Override PartName="/xl/embeddings/oleObject123.bin" ContentType="application/vnd.openxmlformats-officedocument.oleObject"/>
  <Override PartName="/xl/embeddings/oleObject141.bin" ContentType="application/vnd.openxmlformats-officedocument.oleObject"/>
  <Override PartName="/xl/embeddings/oleObject170.bin" ContentType="application/vnd.openxmlformats-officedocument.oleObject"/>
  <Override PartName="/xl/embeddings/oleObject13.bin" ContentType="application/vnd.openxmlformats-officedocument.oleObject"/>
  <Override PartName="/xl/embeddings/oleObject31.bin" ContentType="application/vnd.openxmlformats-officedocument.oleObject"/>
  <Override PartName="/xl/embeddings/oleObject60.bin" ContentType="application/vnd.openxmlformats-officedocument.oleObject"/>
  <Override PartName="/xl/embeddings/oleObject101.bin" ContentType="application/vnd.openxmlformats-officedocument.oleObject"/>
  <Override PartName="/xl/embeddings/oleObject112.bin" ContentType="application/vnd.openxmlformats-officedocument.oleObject"/>
  <Override PartName="/xl/embeddings/oleObject130.bin" ContentType="application/vnd.openxmlformats-officedocument.oleObject"/>
  <Override PartName="/xl/embeddings/oleObject217.bin" ContentType="application/vnd.openxmlformats-officedocument.oleObject"/>
  <Override PartName="/xl/worksheets/sheet6.xml" ContentType="application/vnd.openxmlformats-officedocument.spreadsheetml.worksheet+xml"/>
  <Override PartName="/xl/embeddings/oleObject3.bin" ContentType="application/vnd.openxmlformats-officedocument.oleObject"/>
  <Override PartName="/xl/embeddings/oleObject20.bin" ContentType="application/vnd.openxmlformats-officedocument.oleObject"/>
  <Override PartName="/xl/embeddings/oleObject206.bin" ContentType="application/vnd.openxmlformats-officedocument.oleObject"/>
  <Override PartName="/xl/charts/chart3.xml" ContentType="application/vnd.openxmlformats-officedocument.drawingml.chart+xml"/>
  <Override PartName="/xl/embeddings/oleObject224.bin" ContentType="application/vnd.openxmlformats-officedocument.oleObject"/>
  <Override PartName="/xl/embeddings/oleObject179.bin" ContentType="application/vnd.openxmlformats-officedocument.oleObject"/>
  <Override PartName="/xl/embeddings/oleObject213.bin" ContentType="application/vnd.openxmlformats-officedocument.oleObject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embeddings/oleObject69.bin" ContentType="application/vnd.openxmlformats-officedocument.oleObject"/>
  <Override PartName="/xl/embeddings/oleObject98.bin" ContentType="application/vnd.openxmlformats-officedocument.oleObject"/>
  <Override PartName="/xl/embeddings/oleObject168.bin" ContentType="application/vnd.openxmlformats-officedocument.oleObject"/>
  <Override PartName="/xl/embeddings/oleObject197.bin" ContentType="application/vnd.openxmlformats-officedocument.oleObject"/>
  <Override PartName="/xl/embeddings/oleObject202.bin" ContentType="application/vnd.openxmlformats-officedocument.oleObject"/>
  <Override PartName="/xl/embeddings/oleObject220.bin" ContentType="application/vnd.openxmlformats-officedocument.oleObject"/>
  <Override PartName="/xl/embeddings/oleObject58.bin" ContentType="application/vnd.openxmlformats-officedocument.oleObject"/>
  <Override PartName="/xl/embeddings/oleObject87.bin" ContentType="application/vnd.openxmlformats-officedocument.oleObject"/>
  <Override PartName="/xl/embeddings/oleObject128.bin" ContentType="application/vnd.openxmlformats-officedocument.oleObject"/>
  <Override PartName="/xl/embeddings/oleObject139.bin" ContentType="application/vnd.openxmlformats-officedocument.oleObject"/>
  <Override PartName="/xl/embeddings/oleObject157.bin" ContentType="application/vnd.openxmlformats-officedocument.oleObject"/>
  <Override PartName="/xl/embeddings/oleObject175.bin" ContentType="application/vnd.openxmlformats-officedocument.oleObject"/>
  <Override PartName="/xl/embeddings/oleObject186.bin" ContentType="application/vnd.openxmlformats-officedocument.oleObject"/>
  <Override PartName="/xl/embeddings/oleObject18.bin" ContentType="application/vnd.openxmlformats-officedocument.oleObject"/>
  <Override PartName="/xl/embeddings/oleObject29.bin" ContentType="application/vnd.openxmlformats-officedocument.oleObject"/>
  <Override PartName="/xl/embeddings/oleObject47.bin" ContentType="application/vnd.openxmlformats-officedocument.oleObject"/>
  <Override PartName="/xl/embeddings/oleObject65.bin" ContentType="application/vnd.openxmlformats-officedocument.oleObject"/>
  <Override PartName="/xl/embeddings/oleObject76.bin" ContentType="application/vnd.openxmlformats-officedocument.oleObject"/>
  <Override PartName="/xl/embeddings/oleObject94.bin" ContentType="application/vnd.openxmlformats-officedocument.oleObject"/>
  <Override PartName="/xl/embeddings/oleObject117.bin" ContentType="application/vnd.openxmlformats-officedocument.oleObject"/>
  <Override PartName="/xl/embeddings/oleObject146.bin" ContentType="application/vnd.openxmlformats-officedocument.oleObject"/>
  <Override PartName="/xl/embeddings/oleObject164.bin" ContentType="application/vnd.openxmlformats-officedocument.oleObject"/>
  <Override PartName="/xl/embeddings/oleObject193.bin" ContentType="application/vnd.openxmlformats-officedocument.oleObject"/>
  <Override PartName="/xl/embeddings/oleObject25.bin" ContentType="application/vnd.openxmlformats-officedocument.oleObject"/>
  <Override PartName="/xl/embeddings/oleObject36.bin" ContentType="application/vnd.openxmlformats-officedocument.oleObject"/>
  <Override PartName="/xl/embeddings/oleObject54.bin" ContentType="application/vnd.openxmlformats-officedocument.oleObject"/>
  <Override PartName="/xl/embeddings/oleObject72.bin" ContentType="application/vnd.openxmlformats-officedocument.oleObject"/>
  <Override PartName="/xl/embeddings/oleObject83.bin" ContentType="application/vnd.openxmlformats-officedocument.oleObject"/>
  <Override PartName="/xl/embeddings/oleObject106.bin" ContentType="application/vnd.openxmlformats-officedocument.oleObject"/>
  <Override PartName="/xl/embeddings/oleObject124.bin" ContentType="application/vnd.openxmlformats-officedocument.oleObject"/>
  <Override PartName="/xl/embeddings/oleObject135.bin" ContentType="application/vnd.openxmlformats-officedocument.oleObject"/>
  <Override PartName="/xl/embeddings/oleObject153.bin" ContentType="application/vnd.openxmlformats-officedocument.oleObject"/>
  <Override PartName="/xl/embeddings/oleObject171.bin" ContentType="application/vnd.openxmlformats-officedocument.oleObject"/>
  <Override PartName="/xl/embeddings/oleObject182.bin" ContentType="application/vnd.openxmlformats-officedocument.oleObject"/>
  <Override PartName="/xl/embeddings/oleObject14.bin" ContentType="application/vnd.openxmlformats-officedocument.oleObject"/>
  <Override PartName="/xl/embeddings/oleObject61.bin" ContentType="application/vnd.openxmlformats-officedocument.oleObject"/>
  <Override PartName="/xl/embeddings/oleObject113.bin" ContentType="application/vnd.openxmlformats-officedocument.oleObject"/>
  <Override PartName="/xl/embeddings/oleObject160.bin" ContentType="application/vnd.openxmlformats-officedocument.oleObject"/>
  <Override PartName="/xl/embeddings/oleObject50.bin" ContentType="application/vnd.openxmlformats-officedocument.oleObject"/>
  <Override PartName="/xl/embeddings/oleObject102.bin" ContentType="application/vnd.openxmlformats-officedocument.oleObject"/>
  <Override PartName="/xl/worksheets/sheet7.xml" ContentType="application/vnd.openxmlformats-officedocument.spreadsheetml.worksheet+xml"/>
  <Override PartName="/xl/embeddings/oleObject4.bin" ContentType="application/vnd.openxmlformats-officedocument.oleObject"/>
  <Override PartName="/xl/embeddings/oleObject198.bin" ContentType="application/vnd.openxmlformats-officedocument.oleObject"/>
  <Override PartName="/xl/embeddings/oleObject214.bin" ContentType="application/vnd.openxmlformats-officedocument.oleObject"/>
  <Override PartName="/xl/embeddings/oleObject88.bin" ContentType="application/vnd.openxmlformats-officedocument.oleObject"/>
  <Override PartName="/xl/embeddings/oleObject99.bin" ContentType="application/vnd.openxmlformats-officedocument.oleObject"/>
  <Override PartName="/xl/embeddings/oleObject187.bin" ContentType="application/vnd.openxmlformats-officedocument.oleObject"/>
  <Override PartName="/xl/embeddings/oleObject203.bin" ContentType="application/vnd.openxmlformats-officedocument.oleObject"/>
  <Override PartName="/xl/externalLinks/externalLink1.xml" ContentType="application/vnd.openxmlformats-officedocument.spreadsheetml.externalLink+xml"/>
  <Override PartName="/xl/embeddings/oleObject77.bin" ContentType="application/vnd.openxmlformats-officedocument.oleObject"/>
  <Override PartName="/xl/embeddings/oleObject129.bin" ContentType="application/vnd.openxmlformats-officedocument.oleObject"/>
  <Override PartName="/xl/embeddings/oleObject176.bin" ContentType="application/vnd.openxmlformats-officedocument.oleObject"/>
  <Override PartName="/xl/sharedStrings.xml" ContentType="application/vnd.openxmlformats-officedocument.spreadsheetml.sharedStrings+xml"/>
  <Override PartName="/xl/embeddings/oleObject19.bin" ContentType="application/vnd.openxmlformats-officedocument.oleObject"/>
  <Override PartName="/xl/embeddings/oleObject66.bin" ContentType="application/vnd.openxmlformats-officedocument.oleObject"/>
  <Override PartName="/xl/embeddings/oleObject107.bin" ContentType="application/vnd.openxmlformats-officedocument.oleObject"/>
  <Override PartName="/xl/embeddings/oleObject118.bin" ContentType="application/vnd.openxmlformats-officedocument.oleObject"/>
  <Override PartName="/xl/embeddings/oleObject154.bin" ContentType="application/vnd.openxmlformats-officedocument.oleObject"/>
  <Override PartName="/xl/embeddings/oleObject165.bin" ContentType="application/vnd.openxmlformats-officedocument.oleObject"/>
  <Override PartName="/xl/embeddings/oleObject9.bin" ContentType="application/vnd.openxmlformats-officedocument.oleObject"/>
  <Override PartName="/xl/embeddings/oleObject44.bin" ContentType="application/vnd.openxmlformats-officedocument.oleObject"/>
  <Override PartName="/xl/embeddings/oleObject55.bin" ContentType="application/vnd.openxmlformats-officedocument.oleObject"/>
  <Override PartName="/xl/embeddings/oleObject91.bin" ContentType="application/vnd.openxmlformats-officedocument.oleObject"/>
  <Override PartName="/xl/embeddings/oleObject143.bin" ContentType="application/vnd.openxmlformats-officedocument.oleObject"/>
  <Override PartName="/xl/embeddings/oleObject190.bin" ContentType="application/vnd.openxmlformats-officedocument.oleObject"/>
  <Default Extension="bin" ContentType="application/vnd.openxmlformats-officedocument.spreadsheetml.printerSettings"/>
  <Override PartName="/xl/embeddings/oleObject33.bin" ContentType="application/vnd.openxmlformats-officedocument.oleObject"/>
  <Override PartName="/xl/embeddings/oleObject80.bin" ContentType="application/vnd.openxmlformats-officedocument.oleObject"/>
  <Override PartName="/xl/embeddings/oleObject132.bin" ContentType="application/vnd.openxmlformats-officedocument.oleObject"/>
  <Override PartName="/xl/embeddings/oleObject219.bin" ContentType="application/vnd.openxmlformats-officedocument.oleObject"/>
  <Override PartName="/xl/embeddings/oleObject22.bin" ContentType="application/vnd.openxmlformats-officedocument.oleObject"/>
  <Override PartName="/xl/embeddings/oleObject110.bin" ContentType="application/vnd.openxmlformats-officedocument.oleObject"/>
  <Override PartName="/xl/embeddings/oleObject121.bin" ContentType="application/vnd.openxmlformats-officedocument.oleObject"/>
  <Override PartName="/xl/embeddings/oleObject208.bin" ContentType="application/vnd.openxmlformats-officedocument.oleObject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9040" windowHeight="15840" firstSheet="1" activeTab="1"/>
  </bookViews>
  <sheets>
    <sheet name="Feuil3" sheetId="23" r:id="rId1"/>
    <sheet name="Note de Calcul" sheetId="18" r:id="rId2"/>
    <sheet name="Feuil1" sheetId="24" r:id="rId3"/>
    <sheet name="coefi de comportement+les effor" sheetId="25" r:id="rId4"/>
    <sheet name="verification effet ∆" sheetId="26" r:id="rId5"/>
    <sheet name="verification renversement" sheetId="27" r:id="rId6"/>
    <sheet name="SEMELLE ISOLEE" sheetId="28" r:id="rId7"/>
    <sheet name="semelle filante" sheetId="29" r:id="rId8"/>
  </sheets>
  <externalReferences>
    <externalReference r:id="rId9"/>
  </externalReferences>
  <calcPr calcId="125725"/>
  <fileRecoveryPr autoRecover="0"/>
</workbook>
</file>

<file path=xl/calcChain.xml><?xml version="1.0" encoding="utf-8"?>
<calcChain xmlns="http://schemas.openxmlformats.org/spreadsheetml/2006/main">
  <c r="E427" i="18"/>
  <c r="D9" i="27"/>
  <c r="D10" s="1"/>
  <c r="D11" s="1"/>
  <c r="D12" s="1"/>
  <c r="H543" i="18" l="1"/>
  <c r="H523"/>
  <c r="H522"/>
  <c r="H521"/>
  <c r="H520"/>
  <c r="F523"/>
  <c r="F522"/>
  <c r="F521"/>
  <c r="F520"/>
  <c r="E507"/>
  <c r="E506"/>
  <c r="F437"/>
  <c r="D443" s="1"/>
  <c r="E443" s="1"/>
  <c r="H454"/>
  <c r="G454"/>
  <c r="D454"/>
  <c r="E454" s="1"/>
  <c r="F454" s="1"/>
  <c r="E460" s="1"/>
  <c r="C355"/>
  <c r="C356"/>
  <c r="C357"/>
  <c r="C354"/>
  <c r="F443" l="1"/>
  <c r="G443"/>
  <c r="D460"/>
  <c r="G460" s="1"/>
  <c r="F460" l="1"/>
  <c r="H452" l="1"/>
  <c r="H453"/>
  <c r="H451"/>
  <c r="D452"/>
  <c r="D453"/>
  <c r="D451"/>
  <c r="F400"/>
  <c r="F401"/>
  <c r="F402"/>
  <c r="F399"/>
  <c r="D26" i="27"/>
  <c r="B371" i="18"/>
  <c r="B372"/>
  <c r="B373"/>
  <c r="B370"/>
  <c r="B364"/>
  <c r="B365"/>
  <c r="B366"/>
  <c r="B363"/>
  <c r="H299"/>
  <c r="H300" s="1"/>
  <c r="H301" s="1"/>
  <c r="H302" s="1"/>
  <c r="H303" s="1"/>
  <c r="H304" s="1"/>
  <c r="H542"/>
  <c r="G542" s="1"/>
  <c r="G543"/>
  <c r="E393"/>
  <c r="E394"/>
  <c r="E395"/>
  <c r="I394"/>
  <c r="I395"/>
  <c r="D401"/>
  <c r="D402"/>
  <c r="E392"/>
  <c r="B384"/>
  <c r="B383"/>
  <c r="B382"/>
  <c r="F370"/>
  <c r="F363"/>
  <c r="B29" i="27"/>
  <c r="C29" s="1"/>
  <c r="B10"/>
  <c r="B11"/>
  <c r="B12"/>
  <c r="C12" s="1"/>
  <c r="B9"/>
  <c r="B347" i="18"/>
  <c r="B355" s="1"/>
  <c r="B348"/>
  <c r="B356" s="1"/>
  <c r="B349"/>
  <c r="B357" s="1"/>
  <c r="F338"/>
  <c r="B338"/>
  <c r="C338" s="1"/>
  <c r="A214"/>
  <c r="A215"/>
  <c r="A216"/>
  <c r="A213"/>
  <c r="B214"/>
  <c r="B215"/>
  <c r="B216"/>
  <c r="B213"/>
  <c r="K211"/>
  <c r="J211"/>
  <c r="K209"/>
  <c r="C201"/>
  <c r="B201"/>
  <c r="D201" s="1"/>
  <c r="F201" s="1"/>
  <c r="J196"/>
  <c r="H196"/>
  <c r="F196"/>
  <c r="B27" i="27"/>
  <c r="B28"/>
  <c r="B26"/>
  <c r="B7" i="26"/>
  <c r="B8"/>
  <c r="C8" s="1"/>
  <c r="B6"/>
  <c r="B381" i="18"/>
  <c r="J208"/>
  <c r="B328"/>
  <c r="B329"/>
  <c r="C329" s="1"/>
  <c r="B330"/>
  <c r="C330" s="1"/>
  <c r="B331"/>
  <c r="C331" s="1"/>
  <c r="B336"/>
  <c r="B337"/>
  <c r="B335"/>
  <c r="C21" i="26"/>
  <c r="C20"/>
  <c r="C19"/>
  <c r="F337" i="18"/>
  <c r="G30" i="27"/>
  <c r="G34"/>
  <c r="F26"/>
  <c r="G31"/>
  <c r="G32"/>
  <c r="G33"/>
  <c r="G35"/>
  <c r="G36"/>
  <c r="G37"/>
  <c r="G13"/>
  <c r="G14"/>
  <c r="G15"/>
  <c r="G16"/>
  <c r="G17"/>
  <c r="G18"/>
  <c r="G19"/>
  <c r="G20"/>
  <c r="F9"/>
  <c r="E26"/>
  <c r="D35" i="25"/>
  <c r="G35" s="1"/>
  <c r="C35"/>
  <c r="C36"/>
  <c r="C37"/>
  <c r="C38"/>
  <c r="D38" s="1"/>
  <c r="G38" s="1"/>
  <c r="C39"/>
  <c r="C40"/>
  <c r="B35"/>
  <c r="B36"/>
  <c r="D36" s="1"/>
  <c r="G36" s="1"/>
  <c r="B37"/>
  <c r="B38"/>
  <c r="B39"/>
  <c r="D39" s="1"/>
  <c r="G39" s="1"/>
  <c r="B40"/>
  <c r="D40" s="1"/>
  <c r="G40" s="1"/>
  <c r="B346" i="18"/>
  <c r="B354" s="1"/>
  <c r="F336"/>
  <c r="F335"/>
  <c r="B293"/>
  <c r="B292"/>
  <c r="C7" i="26" l="1"/>
  <c r="C28" i="27"/>
  <c r="C27" s="1"/>
  <c r="C26" s="1"/>
  <c r="C11"/>
  <c r="C10" s="1"/>
  <c r="C9" s="1"/>
  <c r="D364" i="18"/>
  <c r="D331"/>
  <c r="E331" s="1"/>
  <c r="D349" s="1"/>
  <c r="F349" s="1"/>
  <c r="E216"/>
  <c r="C216"/>
  <c r="C6" i="26"/>
  <c r="J209" i="18"/>
  <c r="K210"/>
  <c r="K208"/>
  <c r="J210"/>
  <c r="D330"/>
  <c r="E330" s="1"/>
  <c r="D348" s="1"/>
  <c r="F348" s="1"/>
  <c r="D37" i="25"/>
  <c r="G37" s="1"/>
  <c r="H26" i="27"/>
  <c r="E75" i="29"/>
  <c r="E65"/>
  <c r="D65"/>
  <c r="E32"/>
  <c r="D25"/>
  <c r="D24" s="1"/>
  <c r="D11"/>
  <c r="E45" s="1"/>
  <c r="E46" s="1"/>
  <c r="D10"/>
  <c r="D9"/>
  <c r="D8"/>
  <c r="D7"/>
  <c r="G45" s="1"/>
  <c r="G46" s="1"/>
  <c r="D6"/>
  <c r="D5"/>
  <c r="D204" i="28"/>
  <c r="C204"/>
  <c r="B204"/>
  <c r="A204"/>
  <c r="D150"/>
  <c r="C141"/>
  <c r="C140" s="1"/>
  <c r="C129"/>
  <c r="C128"/>
  <c r="C127"/>
  <c r="C126"/>
  <c r="C125"/>
  <c r="C124"/>
  <c r="B163" s="1"/>
  <c r="B164" s="1"/>
  <c r="C123"/>
  <c r="C122"/>
  <c r="C121"/>
  <c r="C120"/>
  <c r="F163" s="1"/>
  <c r="F164" s="1"/>
  <c r="C119"/>
  <c r="C118"/>
  <c r="D155" s="1"/>
  <c r="D156" s="1"/>
  <c r="E156" s="1"/>
  <c r="D91"/>
  <c r="C91"/>
  <c r="B91"/>
  <c r="A91"/>
  <c r="D37"/>
  <c r="C28"/>
  <c r="C93" s="1"/>
  <c r="D93" s="1"/>
  <c r="C16"/>
  <c r="C15"/>
  <c r="C14"/>
  <c r="C13"/>
  <c r="C12"/>
  <c r="C11"/>
  <c r="C10"/>
  <c r="C9"/>
  <c r="C8"/>
  <c r="C7"/>
  <c r="C6"/>
  <c r="C5"/>
  <c r="C549" i="18"/>
  <c r="C548"/>
  <c r="F435"/>
  <c r="F436"/>
  <c r="G402"/>
  <c r="F395"/>
  <c r="D384"/>
  <c r="D383"/>
  <c r="E363"/>
  <c r="D363"/>
  <c r="E9" i="27"/>
  <c r="D318" i="18"/>
  <c r="F318" s="1"/>
  <c r="D317"/>
  <c r="D315"/>
  <c r="C200"/>
  <c r="B200"/>
  <c r="D200" s="1"/>
  <c r="F200" s="1"/>
  <c r="C199"/>
  <c r="B199"/>
  <c r="D199" s="1"/>
  <c r="F199" s="1"/>
  <c r="C198"/>
  <c r="B198"/>
  <c r="D198" s="1"/>
  <c r="F198" s="1"/>
  <c r="J195"/>
  <c r="H195"/>
  <c r="F195"/>
  <c r="J194"/>
  <c r="H194"/>
  <c r="F194"/>
  <c r="J193"/>
  <c r="H193"/>
  <c r="F193"/>
  <c r="D174" i="28" l="1"/>
  <c r="D146"/>
  <c r="D148" s="1"/>
  <c r="C51" i="29"/>
  <c r="F167" i="28"/>
  <c r="F168" s="1"/>
  <c r="D167"/>
  <c r="D168" s="1"/>
  <c r="B50"/>
  <c r="B51" s="1"/>
  <c r="D50"/>
  <c r="D51" s="1"/>
  <c r="F211"/>
  <c r="B175"/>
  <c r="D175"/>
  <c r="F210"/>
  <c r="D163"/>
  <c r="D164" s="1"/>
  <c r="G51" i="29"/>
  <c r="E51"/>
  <c r="C211" i="28"/>
  <c r="B181"/>
  <c r="D182"/>
  <c r="E52" i="29"/>
  <c r="A206" i="28"/>
  <c r="E204"/>
  <c r="C52" i="29"/>
  <c r="B53" s="1"/>
  <c r="F384" i="18"/>
  <c r="G384" s="1"/>
  <c r="D27" i="27"/>
  <c r="I37"/>
  <c r="I33"/>
  <c r="I36"/>
  <c r="I35"/>
  <c r="I31"/>
  <c r="I34"/>
  <c r="I30"/>
  <c r="I32"/>
  <c r="G65" i="29"/>
  <c r="D53"/>
  <c r="E54"/>
  <c r="E55" s="1"/>
  <c r="C54"/>
  <c r="C55" s="1"/>
  <c r="E30"/>
  <c r="G52"/>
  <c r="F53" s="1"/>
  <c r="E81"/>
  <c r="E82" s="1"/>
  <c r="B87" s="1"/>
  <c r="C45"/>
  <c r="C46" s="1"/>
  <c r="E37"/>
  <c r="B184" i="28"/>
  <c r="B185" s="1"/>
  <c r="A183"/>
  <c r="C176"/>
  <c r="F175"/>
  <c r="B206"/>
  <c r="E206" s="1"/>
  <c r="D218"/>
  <c r="D219" s="1"/>
  <c r="A224" s="1"/>
  <c r="C206"/>
  <c r="D206" s="1"/>
  <c r="B174"/>
  <c r="D181"/>
  <c r="F182"/>
  <c r="F181"/>
  <c r="C210"/>
  <c r="B167"/>
  <c r="B168" s="1"/>
  <c r="F174"/>
  <c r="D177"/>
  <c r="D178" s="1"/>
  <c r="B182"/>
  <c r="F50"/>
  <c r="F51" s="1"/>
  <c r="A93"/>
  <c r="F54"/>
  <c r="F55" s="1"/>
  <c r="B54"/>
  <c r="B55" s="1"/>
  <c r="D54"/>
  <c r="D55" s="1"/>
  <c r="B62"/>
  <c r="D61"/>
  <c r="C27"/>
  <c r="B68"/>
  <c r="D69"/>
  <c r="E91"/>
  <c r="B61"/>
  <c r="D62"/>
  <c r="D68"/>
  <c r="F69"/>
  <c r="D42"/>
  <c r="D43" s="1"/>
  <c r="E43" s="1"/>
  <c r="F62"/>
  <c r="F68"/>
  <c r="B93"/>
  <c r="E93" s="1"/>
  <c r="F91" s="1"/>
  <c r="D105"/>
  <c r="D106" s="1"/>
  <c r="A111" s="1"/>
  <c r="D33"/>
  <c r="D35" s="1"/>
  <c r="F61"/>
  <c r="B69"/>
  <c r="B71" s="1"/>
  <c r="B72" s="1"/>
  <c r="G395" i="18"/>
  <c r="H395" s="1"/>
  <c r="E214"/>
  <c r="C215"/>
  <c r="E215"/>
  <c r="C214"/>
  <c r="E213"/>
  <c r="G318"/>
  <c r="C213"/>
  <c r="C97" i="28" l="1"/>
  <c r="D28" i="27"/>
  <c r="G28" s="1"/>
  <c r="I28" s="1"/>
  <c r="E402" i="18"/>
  <c r="H402" s="1"/>
  <c r="C373"/>
  <c r="C366"/>
  <c r="D365"/>
  <c r="E38" i="29"/>
  <c r="F38" s="1"/>
  <c r="D71"/>
  <c r="G71" s="1"/>
  <c r="G54"/>
  <c r="G55" s="1"/>
  <c r="D73"/>
  <c r="G73" s="1"/>
  <c r="B65"/>
  <c r="H65" s="1"/>
  <c r="A176" i="28"/>
  <c r="B177"/>
  <c r="B178" s="1"/>
  <c r="E183"/>
  <c r="F184"/>
  <c r="F185" s="1"/>
  <c r="F204"/>
  <c r="C183"/>
  <c r="D184"/>
  <c r="D185" s="1"/>
  <c r="F177"/>
  <c r="F178" s="1"/>
  <c r="E176"/>
  <c r="C63"/>
  <c r="F64"/>
  <c r="F65" s="1"/>
  <c r="E63"/>
  <c r="F98"/>
  <c r="A63"/>
  <c r="B64"/>
  <c r="B65" s="1"/>
  <c r="A70"/>
  <c r="E70"/>
  <c r="F71"/>
  <c r="F72" s="1"/>
  <c r="F97"/>
  <c r="C98"/>
  <c r="C70"/>
  <c r="D71"/>
  <c r="D72" s="1"/>
  <c r="D64"/>
  <c r="D65" s="1"/>
  <c r="G10" i="27" l="1"/>
  <c r="D29"/>
  <c r="G29" s="1"/>
  <c r="I29" s="1"/>
  <c r="D366" i="18"/>
  <c r="D373" s="1"/>
  <c r="G373" s="1"/>
  <c r="G12" i="27"/>
  <c r="G11"/>
  <c r="G27"/>
  <c r="I27" s="1"/>
  <c r="G366" i="18" l="1"/>
  <c r="F549"/>
  <c r="F548"/>
  <c r="B549"/>
  <c r="B548"/>
  <c r="E543"/>
  <c r="E542"/>
  <c r="E521"/>
  <c r="E529" s="1"/>
  <c r="E522"/>
  <c r="E530" s="1"/>
  <c r="E523"/>
  <c r="E520"/>
  <c r="E528" s="1"/>
  <c r="E370"/>
  <c r="H370" s="1"/>
  <c r="D370"/>
  <c r="C49" i="26"/>
  <c r="F49" s="1"/>
  <c r="G49" s="1"/>
  <c r="C48"/>
  <c r="F48" s="1"/>
  <c r="G48" s="1"/>
  <c r="C47"/>
  <c r="F47" s="1"/>
  <c r="G47" s="1"/>
  <c r="C36"/>
  <c r="F36" s="1"/>
  <c r="G36" s="1"/>
  <c r="C35"/>
  <c r="F35" s="1"/>
  <c r="G35" s="1"/>
  <c r="C34"/>
  <c r="F34" s="1"/>
  <c r="G34" s="1"/>
  <c r="E21"/>
  <c r="G21" s="1"/>
  <c r="E20"/>
  <c r="G20" s="1"/>
  <c r="E19"/>
  <c r="G19" s="1"/>
  <c r="E8"/>
  <c r="G8" s="1"/>
  <c r="E7"/>
  <c r="G7" s="1"/>
  <c r="E6"/>
  <c r="G6" s="1"/>
  <c r="B83" i="25"/>
  <c r="E83" s="1"/>
  <c r="B82"/>
  <c r="E82" s="1"/>
  <c r="C72"/>
  <c r="B72"/>
  <c r="C71"/>
  <c r="B71"/>
  <c r="D71" s="1"/>
  <c r="C70"/>
  <c r="B70"/>
  <c r="C69"/>
  <c r="B69"/>
  <c r="D69" s="1"/>
  <c r="C68"/>
  <c r="B68"/>
  <c r="C67"/>
  <c r="B67"/>
  <c r="C66"/>
  <c r="B66"/>
  <c r="C65"/>
  <c r="B65"/>
  <c r="D65" s="1"/>
  <c r="C53"/>
  <c r="B53"/>
  <c r="C52"/>
  <c r="B52"/>
  <c r="D52" s="1"/>
  <c r="C51"/>
  <c r="B51"/>
  <c r="C50"/>
  <c r="B50"/>
  <c r="D50" s="1"/>
  <c r="G50" s="1"/>
  <c r="C49"/>
  <c r="B49"/>
  <c r="C48"/>
  <c r="B48"/>
  <c r="C47"/>
  <c r="B47"/>
  <c r="C46"/>
  <c r="B46"/>
  <c r="C34"/>
  <c r="B34"/>
  <c r="C33"/>
  <c r="B33"/>
  <c r="C32"/>
  <c r="B32"/>
  <c r="C31"/>
  <c r="B31"/>
  <c r="C30"/>
  <c r="B30"/>
  <c r="C29"/>
  <c r="B29"/>
  <c r="C28"/>
  <c r="B28"/>
  <c r="C27"/>
  <c r="B27"/>
  <c r="B41" s="1"/>
  <c r="E270" i="18"/>
  <c r="D72" i="25" l="1"/>
  <c r="C41"/>
  <c r="D34"/>
  <c r="D46"/>
  <c r="G46" s="1"/>
  <c r="D47"/>
  <c r="G47" s="1"/>
  <c r="D68"/>
  <c r="D549" i="18"/>
  <c r="I549" s="1"/>
  <c r="D548"/>
  <c r="I548" s="1"/>
  <c r="H548"/>
  <c r="H549"/>
  <c r="D48" i="25"/>
  <c r="D29"/>
  <c r="H29" s="1"/>
  <c r="D31"/>
  <c r="G31" s="1"/>
  <c r="D33"/>
  <c r="G33" s="1"/>
  <c r="D51"/>
  <c r="H51" s="1"/>
  <c r="D70"/>
  <c r="H9" i="27"/>
  <c r="G521" i="18"/>
  <c r="F529" s="1"/>
  <c r="H529" s="1"/>
  <c r="G520"/>
  <c r="F528" s="1"/>
  <c r="H528" s="1"/>
  <c r="H50" i="25"/>
  <c r="G549" i="18"/>
  <c r="B60" i="25"/>
  <c r="H48"/>
  <c r="H47"/>
  <c r="D66"/>
  <c r="H66" s="1"/>
  <c r="G65"/>
  <c r="G548" i="18"/>
  <c r="D27" i="25"/>
  <c r="H27" s="1"/>
  <c r="D28"/>
  <c r="G28" s="1"/>
  <c r="G51"/>
  <c r="C79"/>
  <c r="G522" i="18"/>
  <c r="F530" s="1"/>
  <c r="H530" s="1"/>
  <c r="D371"/>
  <c r="H363"/>
  <c r="H52" i="25"/>
  <c r="B79"/>
  <c r="G34"/>
  <c r="D30"/>
  <c r="D32"/>
  <c r="G32" s="1"/>
  <c r="G48"/>
  <c r="D49"/>
  <c r="H49" s="1"/>
  <c r="G52"/>
  <c r="D53"/>
  <c r="H53" s="1"/>
  <c r="C60"/>
  <c r="H65"/>
  <c r="D67"/>
  <c r="H67" s="1"/>
  <c r="H46" l="1"/>
  <c r="G27"/>
  <c r="D41"/>
  <c r="H41" s="1"/>
  <c r="I17" i="27"/>
  <c r="I20"/>
  <c r="I16"/>
  <c r="I19"/>
  <c r="I15"/>
  <c r="I18"/>
  <c r="I14"/>
  <c r="I13"/>
  <c r="G26"/>
  <c r="I26" s="1"/>
  <c r="G66" i="25"/>
  <c r="G29"/>
  <c r="H28"/>
  <c r="G49"/>
  <c r="G53"/>
  <c r="G67"/>
  <c r="G30"/>
  <c r="D79"/>
  <c r="H79" s="1"/>
  <c r="H4" s="1"/>
  <c r="D372" i="18"/>
  <c r="D60" i="25"/>
  <c r="G60" s="1"/>
  <c r="G41" l="1"/>
  <c r="H2" s="1"/>
  <c r="H60"/>
  <c r="H3" s="1"/>
  <c r="G79"/>
  <c r="I373" i="18" l="1"/>
  <c r="I12" i="27"/>
  <c r="C365" i="18"/>
  <c r="C372" l="1"/>
  <c r="G365"/>
  <c r="C364"/>
  <c r="I11" i="27"/>
  <c r="G372" i="18" l="1"/>
  <c r="I372" s="1"/>
  <c r="I365"/>
  <c r="I366"/>
  <c r="C371"/>
  <c r="G364"/>
  <c r="I364" s="1"/>
  <c r="I10" i="27"/>
  <c r="F507" i="18"/>
  <c r="G507" s="1"/>
  <c r="F506"/>
  <c r="G485"/>
  <c r="E480"/>
  <c r="G371" l="1"/>
  <c r="I371" s="1"/>
  <c r="C370"/>
  <c r="G370" s="1"/>
  <c r="I370" s="1"/>
  <c r="G9" i="27"/>
  <c r="I9" s="1"/>
  <c r="C363" i="18"/>
  <c r="G363" s="1"/>
  <c r="I363" s="1"/>
  <c r="H506"/>
  <c r="G506"/>
  <c r="H507"/>
  <c r="G484"/>
  <c r="G453"/>
  <c r="E453"/>
  <c r="G452"/>
  <c r="E452"/>
  <c r="G451"/>
  <c r="E451"/>
  <c r="G442"/>
  <c r="F442" s="1"/>
  <c r="D441"/>
  <c r="F434"/>
  <c r="G440" s="1"/>
  <c r="F451" l="1"/>
  <c r="F453"/>
  <c r="G441"/>
  <c r="F441" s="1"/>
  <c r="F440"/>
  <c r="D442"/>
  <c r="E442" s="1"/>
  <c r="E441"/>
  <c r="F452"/>
  <c r="D427"/>
  <c r="G401"/>
  <c r="G400"/>
  <c r="D400"/>
  <c r="G399"/>
  <c r="D399"/>
  <c r="F394"/>
  <c r="I393"/>
  <c r="F393"/>
  <c r="I392"/>
  <c r="G394" l="1"/>
  <c r="H394" s="1"/>
  <c r="G393"/>
  <c r="H393" s="1"/>
  <c r="E400" s="1"/>
  <c r="F392"/>
  <c r="D382"/>
  <c r="D381"/>
  <c r="E401" l="1"/>
  <c r="I401" s="1"/>
  <c r="H401" s="1"/>
  <c r="G392"/>
  <c r="H392" s="1"/>
  <c r="E399" s="1"/>
  <c r="I399" s="1"/>
  <c r="H400"/>
  <c r="I400"/>
  <c r="H399" l="1"/>
  <c r="C337" l="1"/>
  <c r="C336"/>
  <c r="C335"/>
  <c r="D337" l="1"/>
  <c r="E337" s="1"/>
  <c r="D338"/>
  <c r="E338" s="1"/>
  <c r="D336"/>
  <c r="E336" s="1"/>
  <c r="C328"/>
  <c r="D316"/>
  <c r="G338" l="1"/>
  <c r="I338" s="1"/>
  <c r="D357"/>
  <c r="F357" s="1"/>
  <c r="G336"/>
  <c r="D355"/>
  <c r="F355" s="1"/>
  <c r="G337"/>
  <c r="D356"/>
  <c r="F356" s="1"/>
  <c r="E328"/>
  <c r="D346" s="1"/>
  <c r="D329"/>
  <c r="G331"/>
  <c r="I331" s="1"/>
  <c r="E329" l="1"/>
  <c r="D347" s="1"/>
  <c r="F347" s="1"/>
  <c r="F346"/>
  <c r="G346" s="1"/>
  <c r="H346" l="1"/>
  <c r="B267"/>
  <c r="E233"/>
  <c r="E232"/>
  <c r="E231"/>
  <c r="H146"/>
  <c r="F146"/>
  <c r="D146"/>
  <c r="I141"/>
  <c r="F141"/>
  <c r="D141"/>
  <c r="I137"/>
  <c r="F137"/>
  <c r="D137"/>
  <c r="F132"/>
  <c r="D132"/>
  <c r="F129"/>
  <c r="D129"/>
  <c r="D127"/>
  <c r="E121"/>
  <c r="B122" s="1"/>
  <c r="G53"/>
  <c r="G39"/>
  <c r="I232" l="1"/>
  <c r="I231"/>
  <c r="G242" l="1"/>
  <c r="C249" s="1"/>
  <c r="G241"/>
  <c r="H248" s="1"/>
  <c r="H249" l="1"/>
  <c r="C248"/>
  <c r="B248"/>
  <c r="B249"/>
  <c r="E277" s="1"/>
  <c r="E288" s="1"/>
  <c r="D293" s="1"/>
  <c r="E276" l="1"/>
  <c r="E287" s="1"/>
  <c r="G7" i="23" l="1"/>
  <c r="H7" s="1"/>
  <c r="H6"/>
  <c r="D292" i="18" l="1"/>
  <c r="F315"/>
  <c r="G315" s="1"/>
  <c r="F317"/>
  <c r="H317" s="1"/>
  <c r="G328"/>
  <c r="H328" s="1"/>
  <c r="F316"/>
  <c r="G316" s="1"/>
  <c r="E335"/>
  <c r="D354" s="1"/>
  <c r="F383"/>
  <c r="G383" s="1"/>
  <c r="F381"/>
  <c r="G381" s="1"/>
  <c r="F382"/>
  <c r="G382" s="1"/>
  <c r="D440"/>
  <c r="E440" s="1"/>
  <c r="D457"/>
  <c r="E457"/>
  <c r="D459"/>
  <c r="E459"/>
  <c r="D458"/>
  <c r="E458"/>
  <c r="G330" l="1"/>
  <c r="I330" s="1"/>
  <c r="I336"/>
  <c r="G335"/>
  <c r="I335" s="1"/>
  <c r="F354"/>
  <c r="H331"/>
  <c r="I337"/>
  <c r="G329"/>
  <c r="H329" s="1"/>
  <c r="I293"/>
  <c r="F293"/>
  <c r="F292"/>
  <c r="I292"/>
  <c r="F458"/>
  <c r="F457"/>
  <c r="H382"/>
  <c r="H316"/>
  <c r="G317"/>
  <c r="F459"/>
  <c r="H315"/>
  <c r="H381"/>
  <c r="G458"/>
  <c r="G459"/>
  <c r="G457"/>
  <c r="H383"/>
  <c r="I328"/>
  <c r="H335" l="1"/>
  <c r="H336"/>
  <c r="H330"/>
  <c r="I329"/>
  <c r="H337"/>
  <c r="H338"/>
  <c r="G356"/>
  <c r="H356"/>
  <c r="G357"/>
  <c r="H357"/>
  <c r="G355"/>
  <c r="H355"/>
  <c r="H347"/>
  <c r="G347"/>
  <c r="G349"/>
  <c r="H349"/>
  <c r="H354"/>
  <c r="G354"/>
  <c r="H348"/>
  <c r="G348"/>
  <c r="E531"/>
  <c r="G523" l="1"/>
  <c r="F531" s="1"/>
  <c r="H531" s="1"/>
  <c r="G8" i="23"/>
  <c r="G9" s="1"/>
  <c r="H8"/>
  <c r="H9" l="1"/>
  <c r="G10"/>
  <c r="H10" s="1"/>
  <c r="G11" l="1"/>
  <c r="H11" s="1"/>
  <c r="G12" l="1"/>
  <c r="G13" s="1"/>
  <c r="H12" l="1"/>
  <c r="H13"/>
  <c r="G14"/>
  <c r="H14" l="1"/>
  <c r="G15"/>
  <c r="H15" l="1"/>
  <c r="G16"/>
  <c r="H16" l="1"/>
  <c r="G17"/>
  <c r="H17" l="1"/>
  <c r="G18"/>
  <c r="H18" l="1"/>
  <c r="G19"/>
  <c r="H19" l="1"/>
  <c r="G20"/>
  <c r="H20" l="1"/>
  <c r="G21"/>
  <c r="H21" l="1"/>
  <c r="G22"/>
  <c r="H22" l="1"/>
  <c r="G23"/>
  <c r="H23" l="1"/>
  <c r="G24"/>
  <c r="G25" l="1"/>
  <c r="H24"/>
  <c r="G26" l="1"/>
  <c r="H25"/>
  <c r="H26" l="1"/>
  <c r="G27"/>
  <c r="H27" l="1"/>
  <c r="G28"/>
  <c r="H28" l="1"/>
  <c r="G29"/>
  <c r="H29" l="1"/>
  <c r="G30"/>
  <c r="H30" l="1"/>
  <c r="G31"/>
  <c r="G32" l="1"/>
  <c r="H31"/>
  <c r="H32" l="1"/>
  <c r="G33"/>
  <c r="H33" s="1"/>
</calcChain>
</file>

<file path=xl/sharedStrings.xml><?xml version="1.0" encoding="utf-8"?>
<sst xmlns="http://schemas.openxmlformats.org/spreadsheetml/2006/main" count="1519" uniqueCount="808">
  <si>
    <t>Mpa</t>
  </si>
  <si>
    <t>Fcj :</t>
  </si>
  <si>
    <t>[j / (4,76+0,83 j)]*fc28</t>
  </si>
  <si>
    <t>jours</t>
  </si>
  <si>
    <t>fcj</t>
  </si>
  <si>
    <t>VITESSE</t>
  </si>
  <si>
    <t>RESISTANCE</t>
  </si>
  <si>
    <t>VITESSE(m/s)</t>
  </si>
  <si>
    <t>RESISTANCE(Mpa)</t>
  </si>
  <si>
    <t>Note de calcul</t>
  </si>
  <si>
    <t xml:space="preserve"> </t>
  </si>
  <si>
    <t xml:space="preserve">   Les dimentions du batiment sont:</t>
  </si>
  <si>
    <t xml:space="preserve">    - Le  R.P.A 99/v2003</t>
  </si>
  <si>
    <t xml:space="preserve">    - Le DTR  BC .2.2</t>
  </si>
  <si>
    <t xml:space="preserve">    - Le B.A.E.L  91</t>
  </si>
  <si>
    <t xml:space="preserve">   - Le  C.B.A 93</t>
  </si>
  <si>
    <t>MPa</t>
  </si>
  <si>
    <t xml:space="preserve">; Avec: </t>
  </si>
  <si>
    <t>pour situations normales</t>
  </si>
  <si>
    <t>Pour situations accidentelles (Séisme)</t>
  </si>
  <si>
    <t xml:space="preserve">   Le diagramme de contraintes Déformations adopté est :</t>
  </si>
  <si>
    <t xml:space="preserve">    - Parabole-rectangle pour les sections entièrement comprimées.</t>
  </si>
  <si>
    <t xml:space="preserve">    - Rectangulaire simplifié pour les autres cas.</t>
  </si>
  <si>
    <t xml:space="preserve">               Contrainte limite ultime de cisaillement, elle est limitée à :</t>
  </si>
  <si>
    <t xml:space="preserve">    - Pour les contraintes de courte durée : </t>
  </si>
  <si>
    <t xml:space="preserve">    - Pour les contraintes de longue durée : </t>
  </si>
  <si>
    <t xml:space="preserve">    - Il est pris égal à : 0 pour le calcul des sollicitations, (ELU)</t>
  </si>
  <si>
    <t xml:space="preserve">    - Il est pris égal à : 0.2 pour le calcul des déformations, (ELS)</t>
  </si>
  <si>
    <t xml:space="preserve">   Le béton est composé de:</t>
  </si>
  <si>
    <t xml:space="preserve">    - Ciment </t>
  </si>
  <si>
    <t xml:space="preserve">    - Sable</t>
  </si>
  <si>
    <t xml:space="preserve">    - Gravillon</t>
  </si>
  <si>
    <t xml:space="preserve">    - Eau de gachage</t>
  </si>
  <si>
    <t>350 Kg</t>
  </si>
  <si>
    <t>400 Kg</t>
  </si>
  <si>
    <t>800 Kg</t>
  </si>
  <si>
    <t xml:space="preserve">   Le module de déformation longitudinale de l'acier est égal à:</t>
  </si>
  <si>
    <t xml:space="preserve">   Les aciers utilisés dans cet ouvrage sont:</t>
  </si>
  <si>
    <t xml:space="preserve">    - Fe E40 H.A type 1                      fe = 400 MPa (limite d’élasticité garantie).</t>
  </si>
  <si>
    <t xml:space="preserve">    - Fe E 24   ronds lisses                fe = 235 MPa (limite d’élasticité garantie),</t>
  </si>
  <si>
    <t xml:space="preserve">   Pour le calcul à l'E.L.U:</t>
  </si>
  <si>
    <t>; avec:</t>
  </si>
  <si>
    <t xml:space="preserve">   Pour le calcul à l'E.L.S:</t>
  </si>
  <si>
    <t>pour aciers ronds lisses</t>
  </si>
  <si>
    <t>pour aciers H.A dont</t>
  </si>
  <si>
    <t xml:space="preserve">      Le diamètre des armatures est au moins égal à 6mm</t>
  </si>
  <si>
    <t xml:space="preserve">      Le diamètre des armatures est au moins égal à 8mm</t>
  </si>
  <si>
    <t xml:space="preserve">   L'épaisseur du plancher (ht) est déterminée à partir de la condition de flèche:  </t>
  </si>
  <si>
    <t xml:space="preserve">         la portée maximale entre nu d'appuis dans le sens de la disposition des poutrelles.</t>
  </si>
  <si>
    <t xml:space="preserve">   ; en (cm)</t>
  </si>
  <si>
    <t xml:space="preserve">                     la portée maximale dans le sens de la disposition des poutrelles.</t>
  </si>
  <si>
    <t>cm</t>
  </si>
  <si>
    <t xml:space="preserve">On prend une épaisseur </t>
  </si>
  <si>
    <t xml:space="preserve">      On prend une épaisseur </t>
  </si>
  <si>
    <t xml:space="preserve">   Leur hauteur est donnée par la condition de flèche:</t>
  </si>
  <si>
    <t>On prend une poutre de</t>
  </si>
  <si>
    <t>cm²</t>
  </si>
  <si>
    <t xml:space="preserve">et </t>
  </si>
  <si>
    <t xml:space="preserve">   L'épaisseur de l'escalier est donnée par la condition de flèche:</t>
  </si>
  <si>
    <t xml:space="preserve">    - Escalier type 1  : escalier entre  R.D.C et étage 1 :</t>
  </si>
  <si>
    <t xml:space="preserve">   La période de la structure est estimée à partir de la formule empérique suivante :</t>
  </si>
  <si>
    <t>m</t>
  </si>
  <si>
    <t xml:space="preserve">     Donc :</t>
  </si>
  <si>
    <t xml:space="preserve">     Selon l'article 4.2.4 (4) R.P.A99/v2003, la période doit etre majorée de 30%</t>
  </si>
  <si>
    <t>s</t>
  </si>
  <si>
    <t>il faut que :</t>
  </si>
  <si>
    <t xml:space="preserve">compression en béton armé, formant ainsi un diaphragme horizontal rigide, transmettant </t>
  </si>
  <si>
    <t xml:space="preserve"> La contrainte de compression dans le béton est :</t>
  </si>
  <si>
    <t xml:space="preserve">         , avec:</t>
  </si>
  <si>
    <t xml:space="preserve">   Etant donné que la structure est contreventée par un système mixte alors la  </t>
  </si>
  <si>
    <t xml:space="preserve">   ; avec :</t>
  </si>
  <si>
    <t xml:space="preserve">sant les 14m de hauteur doit etre constitué de portiques et voiles en béton armé (contrevente- </t>
  </si>
  <si>
    <t>ment mixte) avec justification d'interaction voiles-portiques, ou avec voiles porteurs (entière-</t>
  </si>
  <si>
    <t xml:space="preserve"> ment contreventé par voiles).</t>
  </si>
  <si>
    <t>les charges horizontales aux éléments verticaux tout en assurant la compatibilité des défor-</t>
  </si>
  <si>
    <t xml:space="preserve">   La présente note de calcul est élaborée suivant les règles de calculs et de conceptions  en  </t>
  </si>
  <si>
    <t>vigueur actuellement en Algérie à savoir:</t>
  </si>
  <si>
    <t>accidentelles</t>
  </si>
  <si>
    <t>contraintes dans l’acier ne sont pas limitées.</t>
  </si>
  <si>
    <t xml:space="preserve">   Pour l’étude au séisme, on utilise la méthode Dynamique, Le spectre de réponse est donné    </t>
  </si>
  <si>
    <t>par le programme RPA99/v2003 élaboré par le CGS.</t>
  </si>
  <si>
    <t xml:space="preserve">   L'épaisseur des dalles (e) est déterminée à partir de la résistance à la flexion:  elle dépend </t>
  </si>
  <si>
    <t>des conditions d'appuis:</t>
  </si>
  <si>
    <t xml:space="preserve">            Coefficient qui est fonction du système de contreventement et  </t>
  </si>
  <si>
    <t xml:space="preserve">           du type de remplissage</t>
  </si>
  <si>
    <t xml:space="preserve">          La hauteur de la structure en mètres mesurée à partir du niveau </t>
  </si>
  <si>
    <t xml:space="preserve">          de base jusqu'au dernier niveau.</t>
  </si>
  <si>
    <t xml:space="preserve">   Elle est obtenue à partir d'un modèle numérique (modélisation sur ROBOT), et elle doit etre   </t>
  </si>
  <si>
    <t>inférieure à la période empérique (Texp).</t>
  </si>
  <si>
    <t xml:space="preserve">   L'effort sismique à la base de la structure est estimé par la méthode statique équivalente </t>
  </si>
  <si>
    <t>(M.S.E) ; il est obtenu à partir de la formule empérique suivante :</t>
  </si>
  <si>
    <t xml:space="preserve">    * Zone sismique II.a</t>
  </si>
  <si>
    <t xml:space="preserve">   Il est fonction (du proupe d'usage ,  de la zone sismique):</t>
  </si>
  <si>
    <t xml:space="preserve">   Il est fonction (de la catégorie du site , du facteur de correction d'amortissement et de </t>
  </si>
  <si>
    <t>la période de la structure):</t>
  </si>
  <si>
    <t xml:space="preserve">    * Le pourcentage d'amortissement critique </t>
  </si>
  <si>
    <t>:</t>
  </si>
  <si>
    <t xml:space="preserve">   Il est fonction (des matériaux constitutifs , du type de la structure et de l'importance </t>
  </si>
  <si>
    <t>des remplissages)</t>
  </si>
  <si>
    <t xml:space="preserve">    * Le facteur de correction d'amortissement </t>
  </si>
  <si>
    <t xml:space="preserve">   Il est obtenu à partir de la formule suivante :</t>
  </si>
  <si>
    <t xml:space="preserve">    * La période caractéristique (T2):</t>
  </si>
  <si>
    <t xml:space="preserve">   Elle est fonction (de la catigorie du site S1, S2, S3 et S4)</t>
  </si>
  <si>
    <t>S3</t>
  </si>
  <si>
    <t xml:space="preserve">    * La période fondamentale de la structure (Tx,y):</t>
  </si>
  <si>
    <t xml:space="preserve">                       dans le sens de l'action sismique</t>
  </si>
  <si>
    <t xml:space="preserve">  Pour le calcul selon les deux directions X et Y; on a :</t>
  </si>
  <si>
    <t>; avec : Lx,y : dimensions du batiment en mètre (m)</t>
  </si>
  <si>
    <t xml:space="preserve">     Dx =</t>
  </si>
  <si>
    <t xml:space="preserve">     Dy =</t>
  </si>
  <si>
    <t xml:space="preserve">    - Le facteur de qualité (Q) :</t>
  </si>
  <si>
    <t>Q =</t>
  </si>
  <si>
    <t xml:space="preserve">    - Le coefficient de comportement global (R) :</t>
  </si>
  <si>
    <t xml:space="preserve">   Il est fonction (du système de contreventement):</t>
  </si>
  <si>
    <t>Contreventement mixte portiques-voiles</t>
  </si>
  <si>
    <t xml:space="preserve">           R =</t>
  </si>
  <si>
    <t xml:space="preserve">    - Le poids de la structure (W) :</t>
  </si>
  <si>
    <t xml:space="preserve">        W  =</t>
  </si>
  <si>
    <t>KN</t>
  </si>
  <si>
    <t>et cela dans les deux sens.</t>
  </si>
  <si>
    <t>Observation</t>
  </si>
  <si>
    <t>Modes</t>
  </si>
  <si>
    <t>Période (s)</t>
  </si>
  <si>
    <t>Masses cumulées Ux (%)</t>
  </si>
  <si>
    <t>Masses cumulées Uy (%)</t>
  </si>
  <si>
    <t>Masses modale Ux (%)</t>
  </si>
  <si>
    <t>Masses modale Uy (%)</t>
  </si>
  <si>
    <t>Niveaux</t>
  </si>
  <si>
    <t>condition suivante:</t>
  </si>
  <si>
    <t>; avec :</t>
  </si>
  <si>
    <t xml:space="preserve">    N :  l'effort normal de compression s'exercant sur la section du poteau.</t>
  </si>
  <si>
    <t xml:space="preserve">    B :  l'aire de la section transversale du poteau.</t>
  </si>
  <si>
    <t>La section adoptée (cm²)</t>
  </si>
  <si>
    <t>N (KN)</t>
  </si>
  <si>
    <t>b (cm)</t>
  </si>
  <si>
    <t>h (cm)</t>
  </si>
  <si>
    <t>aire (cm²)</t>
  </si>
  <si>
    <t>fc28 =</t>
  </si>
  <si>
    <t xml:space="preserve">   Le déplacement horizontal à chaque niveau (k) de la structure est calculé par: </t>
  </si>
  <si>
    <t xml:space="preserve">  (article 4.4.3     R.P.A99/v2003)</t>
  </si>
  <si>
    <t xml:space="preserve">   Le déplacement relatif du niveau (k)  par rapport au niveau (k-1) est égal à: </t>
  </si>
  <si>
    <t xml:space="preserve">  (article 5.10     R.P.A99/v2003)</t>
  </si>
  <si>
    <t>R =</t>
  </si>
  <si>
    <t>Dans le sens  X-X</t>
  </si>
  <si>
    <t>(cm)</t>
  </si>
  <si>
    <t xml:space="preserve"> (cm)</t>
  </si>
  <si>
    <t>(%)</t>
  </si>
  <si>
    <t>Dans le sens  Y-Y</t>
  </si>
  <si>
    <t xml:space="preserve">   Les effets de second ordre (ou effet P-Delta) peuvent etre négligés si la condition suivante </t>
  </si>
  <si>
    <t xml:space="preserve">est satisfaite à tous les niveaux: </t>
  </si>
  <si>
    <t>; (article 5.9  RPA99/v2003)</t>
  </si>
  <si>
    <t xml:space="preserve"> (KN)</t>
  </si>
  <si>
    <t>(KN)</t>
  </si>
  <si>
    <t xml:space="preserve">   On doit vérifier que:</t>
  </si>
  <si>
    <t>avec :</t>
  </si>
  <si>
    <t>Nu (KN)</t>
  </si>
  <si>
    <t>(Mpa)</t>
  </si>
  <si>
    <t>La section (cm²)</t>
  </si>
  <si>
    <t>(cm²)</t>
  </si>
  <si>
    <t>acier feE400</t>
  </si>
  <si>
    <t>béton 25 MPa</t>
  </si>
  <si>
    <t xml:space="preserve">   L'effort normal de compression de calcul sous sollicitations dues au seisme est limité par la </t>
  </si>
  <si>
    <t xml:space="preserve">   Le ferraillage des poteaux se fait à la flexion composée selon les combinaisons de sollici-</t>
  </si>
  <si>
    <t>tations les plus défavorables et avec une fissuration peu nuisible; les armatures sont déter-</t>
  </si>
  <si>
    <t>minées suivant le couple de sollicitations suivants:</t>
  </si>
  <si>
    <t xml:space="preserve">   Les combinaisons utilisées pour  la détermination des sollicitations sont:</t>
  </si>
  <si>
    <t>La nature</t>
  </si>
  <si>
    <t>ELU</t>
  </si>
  <si>
    <t>Sismique</t>
  </si>
  <si>
    <t>La zone sismique</t>
  </si>
  <si>
    <t>II-a</t>
  </si>
  <si>
    <t>%</t>
  </si>
  <si>
    <t xml:space="preserve">   Elles sont calculées à l'aide de la formule suivante:</t>
  </si>
  <si>
    <t>Nombre de barres</t>
  </si>
  <si>
    <t xml:space="preserve">   La contrainte de cisaillement conventionnelle de calcul dans le béton sous combinaison </t>
  </si>
  <si>
    <t>sismique doit vérifier la condition suivante:</t>
  </si>
  <si>
    <t>(article 7.4.3.2 du R.P.A)</t>
  </si>
  <si>
    <t>d</t>
  </si>
  <si>
    <t>(MPa)</t>
  </si>
  <si>
    <t xml:space="preserve">   Le ferraillage des poutres se fait à la flexion simple selon les combinaisons de sollici-</t>
  </si>
  <si>
    <t>tations les plus défavorables.</t>
  </si>
  <si>
    <t xml:space="preserve">   Les sollicitations de calcul les plus défavorables sont:</t>
  </si>
  <si>
    <t>Type de poutre</t>
  </si>
  <si>
    <t>La nature  E.L.U</t>
  </si>
  <si>
    <t>La nature  E.L.S</t>
  </si>
  <si>
    <t>La nature  E.L.A</t>
  </si>
  <si>
    <t>V</t>
  </si>
  <si>
    <t>(KN.m)</t>
  </si>
  <si>
    <t>P.Second</t>
  </si>
  <si>
    <t>et      acier feE400</t>
  </si>
  <si>
    <t>En travée</t>
  </si>
  <si>
    <t>En appui</t>
  </si>
  <si>
    <t>filantes</t>
  </si>
  <si>
    <t>chapeaux</t>
  </si>
  <si>
    <t>4 T8 = 2.01</t>
  </si>
  <si>
    <t xml:space="preserve">   On vérifie les poutres les plus défavorables de chaque type.</t>
  </si>
  <si>
    <t xml:space="preserve">   Il faut que:</t>
  </si>
  <si>
    <t>Vmax</t>
  </si>
  <si>
    <t xml:space="preserve"> Type du site :</t>
  </si>
  <si>
    <t>mations.</t>
  </si>
  <si>
    <t>Armatures Verticales</t>
  </si>
  <si>
    <t>Armatures Horizontales</t>
  </si>
  <si>
    <t>[-] Ax</t>
  </si>
  <si>
    <t>[+] Ax</t>
  </si>
  <si>
    <t>[-] Ay</t>
  </si>
  <si>
    <t>[+] Ay</t>
  </si>
  <si>
    <t>Ferraillage   en  cm²/ml</t>
  </si>
  <si>
    <t xml:space="preserve"> T10  (e = 15)</t>
  </si>
  <si>
    <t>Ferraillage des voiles :</t>
  </si>
  <si>
    <t>Ferraillage des dalles :</t>
  </si>
  <si>
    <t>Dalles_(ep=15)</t>
  </si>
  <si>
    <t>Ferraillage des escaliers :</t>
  </si>
  <si>
    <t>Ferraillage des mur de soutènement :</t>
  </si>
  <si>
    <t xml:space="preserve"> T12  (e = 20) Nappe supérieure &amp; inférieure</t>
  </si>
  <si>
    <t xml:space="preserve"> T12  (e = 15) Les deux nappes</t>
  </si>
  <si>
    <t>Escalier_(ep=0)</t>
  </si>
  <si>
    <t>Mur_soutènement_(ep=20)</t>
  </si>
  <si>
    <t xml:space="preserve"> T12  (e = 15)  +  Potelet T14  (e = 10)  (2*3)</t>
  </si>
  <si>
    <t>A max =  …</t>
  </si>
  <si>
    <t xml:space="preserve"> T14  (e = 15) Les deux nappes</t>
  </si>
  <si>
    <t xml:space="preserve"> Le batiment comprend un RDC et étages courants dont les hauteurs sont:</t>
  </si>
  <si>
    <t>Page 21</t>
  </si>
  <si>
    <t>My (KN.m)</t>
  </si>
  <si>
    <t>Mz (KN.m)</t>
  </si>
  <si>
    <t xml:space="preserve"> T14  (e = 15)  +  Potelet T14  (e = 10)  (2*3)</t>
  </si>
  <si>
    <t xml:space="preserve"> T12  (e = 15)</t>
  </si>
  <si>
    <t>A max = …</t>
  </si>
  <si>
    <t>Voile  V1  -----  V7</t>
  </si>
  <si>
    <t>Voile  V2  -----  V8</t>
  </si>
  <si>
    <t>Voile  V3   -----  V9</t>
  </si>
  <si>
    <t>Voile  V4  -----  V10</t>
  </si>
  <si>
    <t>Voile  V5  -----  V11</t>
  </si>
  <si>
    <t>A = 3,64 ----------A max =  6,77</t>
  </si>
  <si>
    <t>A = 5,31 ----------A max =  10,83</t>
  </si>
  <si>
    <t>A max =  4,48</t>
  </si>
  <si>
    <t>A max =  5,65</t>
  </si>
  <si>
    <t>A = 2,64 ----------A max =  5,4</t>
  </si>
  <si>
    <t>A = 5,19 ----------A max =  10,36</t>
  </si>
  <si>
    <t>A =  ---A max =  2,75</t>
  </si>
  <si>
    <t>A =  ---A max =  5,20</t>
  </si>
  <si>
    <t>A = 9,61 ----------A max =  12,67</t>
  </si>
  <si>
    <t>A = 9,15 ----------A max =  12,34</t>
  </si>
  <si>
    <t>A =  ---A max =  3,67</t>
  </si>
  <si>
    <t>A =  ---A max =  3,7</t>
  </si>
  <si>
    <t>A =  7,22 ----------A max =  13,15</t>
  </si>
  <si>
    <t>A =  7,21 ----------A max =  12,89</t>
  </si>
  <si>
    <t>A max =  4,99</t>
  </si>
  <si>
    <t>A max =  4,69</t>
  </si>
  <si>
    <t>A =  ----------A max =  6,56</t>
  </si>
  <si>
    <t>A =  ----------A max =  7,20</t>
  </si>
  <si>
    <t>A = ----------A max =  2,99</t>
  </si>
  <si>
    <t>A = ----------A max = 3,02</t>
  </si>
  <si>
    <t xml:space="preserve">                                                                           </t>
  </si>
  <si>
    <t>Poutre</t>
  </si>
  <si>
    <t>A</t>
  </si>
  <si>
    <t xml:space="preserve">selon le RPA 99V2003 (article 7.4.1 ) </t>
  </si>
  <si>
    <t>* poteau rectangulaire</t>
  </si>
  <si>
    <t>MIN (b1,h1)     ≥</t>
  </si>
  <si>
    <t xml:space="preserve">25 cm </t>
  </si>
  <si>
    <t>en zone I ET II</t>
  </si>
  <si>
    <t xml:space="preserve">30 cm </t>
  </si>
  <si>
    <t>en zone  III</t>
  </si>
  <si>
    <t>he/22</t>
  </si>
  <si>
    <t>1/4</t>
  </si>
  <si>
    <t xml:space="preserve"> ≤ b1/h1 ≤</t>
  </si>
  <si>
    <t>* poteau circulaire</t>
  </si>
  <si>
    <t xml:space="preserve">        D  ≥</t>
  </si>
  <si>
    <t>25 cm</t>
  </si>
  <si>
    <t xml:space="preserve">en zone I </t>
  </si>
  <si>
    <t>30 cm</t>
  </si>
  <si>
    <t xml:space="preserve">en zone II </t>
  </si>
  <si>
    <t>35 cm</t>
  </si>
  <si>
    <t xml:space="preserve">en zone III </t>
  </si>
  <si>
    <t>he/15</t>
  </si>
  <si>
    <t>selon le CBA 93 article B.8.4.1</t>
  </si>
  <si>
    <t xml:space="preserve">l'effort normal ultime doit etre </t>
  </si>
  <si>
    <t xml:space="preserve">     Nu ≤ </t>
  </si>
  <si>
    <t>: section d'acier comprimé min</t>
  </si>
  <si>
    <t>Br</t>
  </si>
  <si>
    <t>: section reduite du poteau</t>
  </si>
  <si>
    <t>Br=</t>
  </si>
  <si>
    <t>(b-2)*(h-2) cm2</t>
  </si>
  <si>
    <t>A/Br = 1%</t>
  </si>
  <si>
    <t xml:space="preserve"> selon la zone seismique</t>
  </si>
  <si>
    <t xml:space="preserve"> situation durable ou transitoire</t>
  </si>
  <si>
    <t xml:space="preserve"> situation accidentelle</t>
  </si>
  <si>
    <t>Nu =</t>
  </si>
  <si>
    <t>1.35G+1.5Q</t>
  </si>
  <si>
    <t>α</t>
  </si>
  <si>
    <t>α=</t>
  </si>
  <si>
    <t xml:space="preserve">pour  </t>
  </si>
  <si>
    <t>ʎ ≤ 50</t>
  </si>
  <si>
    <t>Ils  seront  dimensionnés  par  :</t>
  </si>
  <si>
    <t xml:space="preserve"> = </t>
  </si>
  <si>
    <t>: coéfficient de reduction destiné à tenir compte a la fois des éfforts</t>
  </si>
  <si>
    <t xml:space="preserve"> du second ordre  et de l'éxcentricité accidentelle</t>
  </si>
  <si>
    <t>pour que toutes les armatures</t>
  </si>
  <si>
    <t xml:space="preserve"> participent à la resistance du poteau</t>
  </si>
  <si>
    <t>ʎ =</t>
  </si>
  <si>
    <t xml:space="preserve">           =</t>
  </si>
  <si>
    <t xml:space="preserve">     ≤ 50</t>
  </si>
  <si>
    <t xml:space="preserve">    combinaison G+Q+1.2*E  sera négligée.</t>
  </si>
  <si>
    <t>Pot (RDC)</t>
  </si>
  <si>
    <t>Pot (E.C)</t>
  </si>
  <si>
    <t>cm2</t>
  </si>
  <si>
    <t xml:space="preserve">   50 &lt; ʎ ≤ 70</t>
  </si>
  <si>
    <t>si</t>
  </si>
  <si>
    <t xml:space="preserve">T emperique </t>
  </si>
  <si>
    <t>T = Tnumérique</t>
  </si>
  <si>
    <t>T = T emperique</t>
  </si>
  <si>
    <t>T emperique  &lt;</t>
  </si>
  <si>
    <t>T numérique  &lt;</t>
  </si>
  <si>
    <t>T numérique  &gt;</t>
  </si>
  <si>
    <t xml:space="preserve"> T numérique  &lt;   T expérimentale</t>
  </si>
  <si>
    <t>T expérimentale</t>
  </si>
  <si>
    <t>T = Texpérimentale</t>
  </si>
  <si>
    <t xml:space="preserve">Texp(x) = </t>
  </si>
  <si>
    <t xml:space="preserve">Texp(y) = </t>
  </si>
  <si>
    <t xml:space="preserve">Tnumérique(x) = </t>
  </si>
  <si>
    <t xml:space="preserve">Tnumérique(y) = </t>
  </si>
  <si>
    <t xml:space="preserve">Tempérique(x) = </t>
  </si>
  <si>
    <t xml:space="preserve">Tempérique(y) = </t>
  </si>
  <si>
    <t>Tx=</t>
  </si>
  <si>
    <t>Ty=</t>
  </si>
  <si>
    <t>SITE</t>
  </si>
  <si>
    <t>S1</t>
  </si>
  <si>
    <t>S2</t>
  </si>
  <si>
    <t>S4</t>
  </si>
  <si>
    <t>T1 (Sec)</t>
  </si>
  <si>
    <t>T2 (Sec)</t>
  </si>
  <si>
    <t>D =</t>
  </si>
  <si>
    <t>Résultat</t>
  </si>
  <si>
    <t>Hauteur du batiment</t>
  </si>
  <si>
    <t>Voiles de contreventement</t>
  </si>
  <si>
    <t>Poteaux</t>
  </si>
  <si>
    <t>Effort tranchant</t>
  </si>
  <si>
    <t>Effort normal</t>
  </si>
  <si>
    <t>Etage</t>
  </si>
  <si>
    <t>Tx</t>
  </si>
  <si>
    <t>Ty</t>
  </si>
  <si>
    <t>N</t>
  </si>
  <si>
    <t>Effort normal sur les voiles et poteaux</t>
  </si>
  <si>
    <t>Voile</t>
  </si>
  <si>
    <t>poteaux</t>
  </si>
  <si>
    <t>somme</t>
  </si>
  <si>
    <t>N Voile</t>
  </si>
  <si>
    <t>N Poteaux</t>
  </si>
  <si>
    <t>01</t>
  </si>
  <si>
    <t>02</t>
  </si>
  <si>
    <t>03</t>
  </si>
  <si>
    <t>04</t>
  </si>
  <si>
    <t>05</t>
  </si>
  <si>
    <t>06</t>
  </si>
  <si>
    <t>07</t>
  </si>
  <si>
    <t>08</t>
  </si>
  <si>
    <t>TOTAL</t>
  </si>
  <si>
    <t>Effort Tranchant sur les voiles et poteaux selon X-X</t>
  </si>
  <si>
    <t>FX Voile</t>
  </si>
  <si>
    <t>FX Poteaux</t>
  </si>
  <si>
    <t>Effort Tranchant sur les voiles et poteaux selon Y-Y</t>
  </si>
  <si>
    <t>FY Voile</t>
  </si>
  <si>
    <t>FY Poteaux</t>
  </si>
  <si>
    <t>EX</t>
  </si>
  <si>
    <t>coefx</t>
  </si>
  <si>
    <t>EY</t>
  </si>
  <si>
    <t>coefy</t>
  </si>
  <si>
    <t>1/vérification déplacement relatif au niveau K</t>
  </si>
  <si>
    <t>( Sous combinaisons EX)</t>
  </si>
  <si>
    <t>étage</t>
  </si>
  <si>
    <t>UX</t>
  </si>
  <si>
    <t>dr(UX) relatif</t>
  </si>
  <si>
    <t>R (coéf de comport)</t>
  </si>
  <si>
    <t>∆x=(R)X(UX)</t>
  </si>
  <si>
    <t>1%H(étage)</t>
  </si>
  <si>
    <t>∆x ≤1%H(étage)</t>
  </si>
  <si>
    <t xml:space="preserve"> (Sous combinaisons EY)</t>
  </si>
  <si>
    <t>UY</t>
  </si>
  <si>
    <t>dr(UY)  relatif</t>
  </si>
  <si>
    <t>∆y=(R)X(Uy)</t>
  </si>
  <si>
    <t>∆y ≤1%H(étage)</t>
  </si>
  <si>
    <t>2/vérification L'effet P-∆</t>
  </si>
  <si>
    <t xml:space="preserve"> (Sous combinaisons EX)</t>
  </si>
  <si>
    <t xml:space="preserve">Etage </t>
  </si>
  <si>
    <t>P</t>
  </si>
  <si>
    <t xml:space="preserve">dr(UX) </t>
  </si>
  <si>
    <t>Vx</t>
  </si>
  <si>
    <t>h</t>
  </si>
  <si>
    <t>θ=P*dr(UX) /Vx*h</t>
  </si>
  <si>
    <t>Vérification θx ≤ 0.1</t>
  </si>
  <si>
    <t xml:space="preserve">dr(UY) </t>
  </si>
  <si>
    <t>Vy</t>
  </si>
  <si>
    <t>θ=P*dr(UY) /Vy*h</t>
  </si>
  <si>
    <t>Vérification θy ≤ 0.1</t>
  </si>
  <si>
    <t>.</t>
  </si>
  <si>
    <t>3/ vérification  Renversement</t>
  </si>
  <si>
    <t xml:space="preserve">DIRECTION X </t>
  </si>
  <si>
    <t>ETAGE</t>
  </si>
  <si>
    <t>Vx (KN)</t>
  </si>
  <si>
    <t>Fx (KN)</t>
  </si>
  <si>
    <t>h (m)</t>
  </si>
  <si>
    <t>W (KN)</t>
  </si>
  <si>
    <t>Xg (m)</t>
  </si>
  <si>
    <t>Mr (KN)</t>
  </si>
  <si>
    <t>Ms (KN)</t>
  </si>
  <si>
    <t>Vérification</t>
  </si>
  <si>
    <t>DIRECTION Y</t>
  </si>
  <si>
    <t>Vy (KN)</t>
  </si>
  <si>
    <t>FY (KN)</t>
  </si>
  <si>
    <t>Yg (m)</t>
  </si>
  <si>
    <t>* La condition de non flambement.</t>
  </si>
  <si>
    <t>* Les conditions de RPA 2003.</t>
  </si>
  <si>
    <t>* Les descents des charges.</t>
  </si>
  <si>
    <t>coéfi</t>
  </si>
  <si>
    <t>observation</t>
  </si>
  <si>
    <t>σbc</t>
  </si>
  <si>
    <t>(cm4)</t>
  </si>
  <si>
    <t>(cm2)</t>
  </si>
  <si>
    <t>I</t>
  </si>
  <si>
    <t>y</t>
  </si>
  <si>
    <t>poutres</t>
  </si>
  <si>
    <t>localisation</t>
  </si>
  <si>
    <t>PS</t>
  </si>
  <si>
    <t>Appuis</t>
  </si>
  <si>
    <t>travées</t>
  </si>
  <si>
    <t>a/</t>
  </si>
  <si>
    <t>Etat limite de compression du béton</t>
  </si>
  <si>
    <t xml:space="preserve">                                           </t>
  </si>
  <si>
    <t xml:space="preserve"> (B.A.E.L 91 (art E.III.1)</t>
  </si>
  <si>
    <t>b/</t>
  </si>
  <si>
    <t>Etat limite dedéformation (évaluation de la flèche)</t>
  </si>
  <si>
    <t>D'après B.A.E.L 91 (art B.6.5) ET C.B.A93 la vérification à la flèche est unitile si :</t>
  </si>
  <si>
    <t>L</t>
  </si>
  <si>
    <t>fe</t>
  </si>
  <si>
    <t>(mpa)</t>
  </si>
  <si>
    <t>4.2/fe</t>
  </si>
  <si>
    <t>(Kn.m)</t>
  </si>
  <si>
    <t>à l'ELS</t>
  </si>
  <si>
    <t>seulement  les aciers tendue  A'=0</t>
  </si>
  <si>
    <t>(r..p.a et b.a.e.l)</t>
  </si>
  <si>
    <t xml:space="preserve">    * Groupe d'usage 2.</t>
  </si>
  <si>
    <t>(30x35)</t>
  </si>
  <si>
    <t xml:space="preserve">Intitulé du projet :      </t>
  </si>
  <si>
    <t xml:space="preserve">    - Les étages courants sont à usage (habitations) s.</t>
  </si>
  <si>
    <t>vérification des conditions de RPA 99/version 2003</t>
  </si>
  <si>
    <t>niveau</t>
  </si>
  <si>
    <t>H(cm) étage</t>
  </si>
  <si>
    <t>b(cm)</t>
  </si>
  <si>
    <t>h(cm)</t>
  </si>
  <si>
    <t>conditions(01)       min(b;h)&gt;= 25 cm</t>
  </si>
  <si>
    <t>Lf(cm)</t>
  </si>
  <si>
    <t>I(cm4)</t>
  </si>
  <si>
    <t xml:space="preserve">conditions de non flembement       </t>
  </si>
  <si>
    <t>Story</t>
  </si>
  <si>
    <t>XCM</t>
  </si>
  <si>
    <t>YCM</t>
  </si>
  <si>
    <t>CumMassX</t>
  </si>
  <si>
    <t>CumMassY</t>
  </si>
  <si>
    <t>XCCM</t>
  </si>
  <si>
    <t>YCCM</t>
  </si>
  <si>
    <t>XCR</t>
  </si>
  <si>
    <t>YCR</t>
  </si>
  <si>
    <t>STORY1</t>
  </si>
  <si>
    <t>STORY2</t>
  </si>
  <si>
    <t>STORY3</t>
  </si>
  <si>
    <t>ex</t>
  </si>
  <si>
    <t>ey</t>
  </si>
  <si>
    <t>15%Lx</t>
  </si>
  <si>
    <t>15%Ly</t>
  </si>
  <si>
    <t xml:space="preserve">  6.1.9_ Vérification  Renversement</t>
  </si>
  <si>
    <t>Masses modale Rz (%)</t>
  </si>
  <si>
    <t>poid total (kn)</t>
  </si>
  <si>
    <t>NIV 01</t>
  </si>
  <si>
    <t>NIV 02</t>
  </si>
  <si>
    <t>NIV 03</t>
  </si>
  <si>
    <t>/</t>
  </si>
  <si>
    <t>SELON X-X</t>
  </si>
  <si>
    <r>
      <t xml:space="preserve"> 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Ex</t>
    </r>
  </si>
  <si>
    <t>4*e</t>
  </si>
  <si>
    <t>B ≥4*e</t>
  </si>
  <si>
    <t>SELON Y-Y</t>
  </si>
  <si>
    <r>
      <t xml:space="preserve"> 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Ey</t>
    </r>
  </si>
  <si>
    <r>
      <t xml:space="preserve">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Ex</t>
    </r>
  </si>
  <si>
    <r>
      <t>σ</t>
    </r>
    <r>
      <rPr>
        <b/>
        <sz val="8"/>
        <color indexed="61"/>
        <rFont val="Arial"/>
        <family val="2"/>
      </rPr>
      <t xml:space="preserve">max </t>
    </r>
    <r>
      <rPr>
        <b/>
        <sz val="10"/>
        <color indexed="61"/>
        <rFont val="Arial"/>
        <family val="2"/>
      </rPr>
      <t>(Mpa)</t>
    </r>
  </si>
  <si>
    <r>
      <t>σ</t>
    </r>
    <r>
      <rPr>
        <b/>
        <sz val="8"/>
        <color indexed="61"/>
        <rFont val="Arial"/>
        <family val="2"/>
      </rPr>
      <t xml:space="preserve">min </t>
    </r>
    <r>
      <rPr>
        <b/>
        <sz val="10"/>
        <color indexed="61"/>
        <rFont val="Arial"/>
        <family val="2"/>
      </rPr>
      <t>(Mpa)</t>
    </r>
  </si>
  <si>
    <r>
      <t>σ</t>
    </r>
    <r>
      <rPr>
        <b/>
        <sz val="8"/>
        <color indexed="61"/>
        <rFont val="Arial"/>
        <family val="2"/>
      </rPr>
      <t xml:space="preserve">moy </t>
    </r>
    <r>
      <rPr>
        <b/>
        <sz val="10"/>
        <color indexed="61"/>
        <rFont val="Arial"/>
        <family val="2"/>
      </rPr>
      <t>(Mpa)</t>
    </r>
  </si>
  <si>
    <t>Condition</t>
  </si>
  <si>
    <r>
      <t xml:space="preserve">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Ey</t>
    </r>
  </si>
  <si>
    <t>ftj</t>
  </si>
  <si>
    <t>Nu</t>
  </si>
  <si>
    <t>N1</t>
  </si>
  <si>
    <t>Pc</t>
  </si>
  <si>
    <t>ht</t>
  </si>
  <si>
    <t>Calcul de Pc:</t>
  </si>
  <si>
    <t>a,b</t>
  </si>
  <si>
    <t>Calcul de N1:</t>
  </si>
  <si>
    <t>a [m]</t>
  </si>
  <si>
    <t>N1 [kn]</t>
  </si>
  <si>
    <t>DONNEES</t>
  </si>
  <si>
    <r>
      <t>N</t>
    </r>
    <r>
      <rPr>
        <b/>
        <sz val="8"/>
        <color indexed="61"/>
        <rFont val="Arial"/>
        <family val="2"/>
      </rPr>
      <t>s</t>
    </r>
    <r>
      <rPr>
        <b/>
        <sz val="10"/>
        <color indexed="61"/>
        <rFont val="Arial"/>
        <family val="2"/>
      </rPr>
      <t xml:space="preserve"> (t)</t>
    </r>
  </si>
  <si>
    <r>
      <t>N</t>
    </r>
    <r>
      <rPr>
        <b/>
        <sz val="8"/>
        <color indexed="61"/>
        <rFont val="Arial"/>
        <family val="2"/>
      </rPr>
      <t>u</t>
    </r>
    <r>
      <rPr>
        <b/>
        <sz val="10"/>
        <color indexed="61"/>
        <rFont val="Arial"/>
        <family val="2"/>
      </rPr>
      <t xml:space="preserve"> (t)</t>
    </r>
  </si>
  <si>
    <r>
      <t>M</t>
    </r>
    <r>
      <rPr>
        <b/>
        <sz val="8"/>
        <color indexed="61"/>
        <rFont val="Arial"/>
        <family val="2"/>
      </rPr>
      <t>uy</t>
    </r>
    <r>
      <rPr>
        <b/>
        <sz val="10"/>
        <color indexed="61"/>
        <rFont val="Arial"/>
        <family val="2"/>
      </rPr>
      <t xml:space="preserve"> (t.m)</t>
    </r>
  </si>
  <si>
    <r>
      <t>M</t>
    </r>
    <r>
      <rPr>
        <b/>
        <sz val="8"/>
        <color indexed="61"/>
        <rFont val="Arial"/>
        <family val="2"/>
      </rPr>
      <t>ux</t>
    </r>
    <r>
      <rPr>
        <b/>
        <sz val="10"/>
        <color indexed="61"/>
        <rFont val="Arial"/>
        <family val="2"/>
      </rPr>
      <t xml:space="preserve"> (t.m)</t>
    </r>
  </si>
  <si>
    <r>
      <t>N</t>
    </r>
    <r>
      <rPr>
        <b/>
        <sz val="8"/>
        <color indexed="61"/>
        <rFont val="Arial"/>
        <family val="2"/>
      </rPr>
      <t>0.8G±Ex</t>
    </r>
    <r>
      <rPr>
        <b/>
        <sz val="10"/>
        <color indexed="61"/>
        <rFont val="Arial"/>
        <family val="2"/>
      </rPr>
      <t xml:space="preserve"> (t)</t>
    </r>
  </si>
  <si>
    <r>
      <t>N</t>
    </r>
    <r>
      <rPr>
        <b/>
        <sz val="8"/>
        <color indexed="61"/>
        <rFont val="Arial"/>
        <family val="2"/>
      </rPr>
      <t>0.8G±Ey</t>
    </r>
    <r>
      <rPr>
        <b/>
        <sz val="10"/>
        <color indexed="61"/>
        <rFont val="Arial"/>
        <family val="2"/>
      </rPr>
      <t xml:space="preserve"> (t)</t>
    </r>
  </si>
  <si>
    <r>
      <t>M</t>
    </r>
    <r>
      <rPr>
        <b/>
        <sz val="8"/>
        <color indexed="61"/>
        <rFont val="Arial"/>
        <family val="2"/>
      </rPr>
      <t>0.8G±Ey</t>
    </r>
    <r>
      <rPr>
        <b/>
        <sz val="10"/>
        <color indexed="61"/>
        <rFont val="Arial"/>
        <family val="2"/>
      </rPr>
      <t xml:space="preserve"> (t.m)</t>
    </r>
  </si>
  <si>
    <r>
      <t>M</t>
    </r>
    <r>
      <rPr>
        <b/>
        <sz val="8"/>
        <color indexed="61"/>
        <rFont val="Arial"/>
        <family val="2"/>
      </rPr>
      <t>0.8G±Ex</t>
    </r>
    <r>
      <rPr>
        <b/>
        <sz val="10"/>
        <color indexed="61"/>
        <rFont val="Arial"/>
        <family val="2"/>
      </rPr>
      <t xml:space="preserve"> (t.m)</t>
    </r>
  </si>
  <si>
    <r>
      <t>N</t>
    </r>
    <r>
      <rPr>
        <b/>
        <sz val="8"/>
        <color indexed="61"/>
        <rFont val="Arial"/>
        <family val="2"/>
      </rPr>
      <t>G+Q±Ex</t>
    </r>
    <r>
      <rPr>
        <b/>
        <sz val="10"/>
        <color indexed="61"/>
        <rFont val="Arial"/>
        <family val="2"/>
      </rPr>
      <t xml:space="preserve"> (t)</t>
    </r>
  </si>
  <si>
    <r>
      <t>N</t>
    </r>
    <r>
      <rPr>
        <b/>
        <sz val="8"/>
        <color indexed="61"/>
        <rFont val="Arial"/>
        <family val="2"/>
      </rPr>
      <t>G+Q±Ey</t>
    </r>
    <r>
      <rPr>
        <b/>
        <sz val="10"/>
        <color indexed="61"/>
        <rFont val="Arial"/>
        <family val="2"/>
      </rPr>
      <t xml:space="preserve"> (t)</t>
    </r>
  </si>
  <si>
    <r>
      <t>M</t>
    </r>
    <r>
      <rPr>
        <b/>
        <sz val="8"/>
        <color indexed="61"/>
        <rFont val="Arial"/>
        <family val="2"/>
      </rPr>
      <t>G+Q±Ey</t>
    </r>
    <r>
      <rPr>
        <b/>
        <sz val="10"/>
        <color indexed="61"/>
        <rFont val="Arial"/>
        <family val="2"/>
      </rPr>
      <t>(t.m)</t>
    </r>
  </si>
  <si>
    <r>
      <t>M</t>
    </r>
    <r>
      <rPr>
        <b/>
        <sz val="8"/>
        <color indexed="61"/>
        <rFont val="Arial"/>
        <family val="2"/>
      </rPr>
      <t>G+Q±Ex</t>
    </r>
    <r>
      <rPr>
        <b/>
        <sz val="10"/>
        <color indexed="61"/>
        <rFont val="Arial"/>
        <family val="2"/>
      </rPr>
      <t xml:space="preserve"> (t.m)</t>
    </r>
  </si>
  <si>
    <r>
      <t>σ'</t>
    </r>
    <r>
      <rPr>
        <b/>
        <sz val="8"/>
        <color indexed="61"/>
        <rFont val="Arial"/>
        <family val="2"/>
      </rPr>
      <t xml:space="preserve">sol </t>
    </r>
    <r>
      <rPr>
        <b/>
        <sz val="10"/>
        <color indexed="61"/>
        <rFont val="Arial"/>
        <family val="2"/>
      </rPr>
      <t>(Mpa)</t>
    </r>
  </si>
  <si>
    <r>
      <t>σ</t>
    </r>
    <r>
      <rPr>
        <b/>
        <sz val="8"/>
        <color indexed="61"/>
        <rFont val="Arial"/>
        <family val="2"/>
      </rPr>
      <t xml:space="preserve">st </t>
    </r>
    <r>
      <rPr>
        <b/>
        <sz val="10"/>
        <color indexed="61"/>
        <rFont val="Arial"/>
        <family val="2"/>
      </rPr>
      <t>(Mpa)</t>
    </r>
  </si>
  <si>
    <t>Fe (Mpa)</t>
  </si>
  <si>
    <r>
      <t>Fc</t>
    </r>
    <r>
      <rPr>
        <b/>
        <sz val="8"/>
        <color indexed="61"/>
        <rFont val="Arial"/>
        <family val="2"/>
      </rPr>
      <t>28</t>
    </r>
    <r>
      <rPr>
        <b/>
        <sz val="10"/>
        <color indexed="61"/>
        <rFont val="Arial"/>
        <family val="2"/>
      </rPr>
      <t xml:space="preserve"> (Mpa)</t>
    </r>
  </si>
  <si>
    <t>ψ</t>
  </si>
  <si>
    <t>η</t>
  </si>
  <si>
    <t>a (m)</t>
  </si>
  <si>
    <t>b (m)</t>
  </si>
  <si>
    <t>c (m)</t>
  </si>
  <si>
    <r>
      <t>h</t>
    </r>
    <r>
      <rPr>
        <b/>
        <sz val="8"/>
        <color indexed="61"/>
        <rFont val="Arial"/>
        <family val="2"/>
      </rPr>
      <t>p</t>
    </r>
    <r>
      <rPr>
        <b/>
        <sz val="10"/>
        <color indexed="61"/>
        <rFont val="Arial"/>
        <family val="2"/>
      </rPr>
      <t xml:space="preserve"> (m)</t>
    </r>
  </si>
  <si>
    <r>
      <t>Ft</t>
    </r>
    <r>
      <rPr>
        <b/>
        <sz val="8"/>
        <color indexed="61"/>
        <rFont val="Arial"/>
        <family val="2"/>
      </rPr>
      <t>28</t>
    </r>
    <r>
      <rPr>
        <b/>
        <sz val="10"/>
        <color indexed="61"/>
        <rFont val="Arial"/>
        <family val="2"/>
      </rPr>
      <t xml:space="preserve"> (Mpa)</t>
    </r>
  </si>
  <si>
    <t>Vérification de la semelle sous l'effet de son poids propre</t>
  </si>
  <si>
    <t>Vérification de la semelle sous l'effet de la force sismique</t>
  </si>
  <si>
    <t>: contrainte admissible de traction du béton</t>
  </si>
  <si>
    <t>: Effort normal à L'ELU</t>
  </si>
  <si>
    <t>: Valeur de la réaction du sol appliquée sur l'air délimité par Pc</t>
  </si>
  <si>
    <t xml:space="preserve">: Le périmètre d'un contour homothétique du poteau situé à mi-épaisseur de la semelle </t>
  </si>
  <si>
    <t>: Hauteur totale de la semelle</t>
  </si>
  <si>
    <t>Pc = 2 ( a + b +2 ht )</t>
  </si>
  <si>
    <t>: Dimentions du poteau</t>
  </si>
  <si>
    <t>N1 = ( a + h) ( b + h ) x ssol</t>
  </si>
  <si>
    <t>b [m]</t>
  </si>
  <si>
    <t>Nu [kn]</t>
  </si>
  <si>
    <r>
      <t>A</t>
    </r>
    <r>
      <rPr>
        <b/>
        <sz val="8"/>
        <color indexed="61"/>
        <rFont val="Arial"/>
        <family val="2"/>
      </rPr>
      <t>//B</t>
    </r>
    <r>
      <rPr>
        <b/>
        <sz val="10"/>
        <color indexed="61"/>
        <rFont val="Arial"/>
        <family val="2"/>
      </rPr>
      <t xml:space="preserve"> (cm²)</t>
    </r>
  </si>
  <si>
    <r>
      <t>A</t>
    </r>
    <r>
      <rPr>
        <b/>
        <sz val="8"/>
        <color indexed="61"/>
        <rFont val="Arial"/>
        <family val="2"/>
      </rPr>
      <t>//A</t>
    </r>
    <r>
      <rPr>
        <b/>
        <sz val="10"/>
        <color indexed="61"/>
        <rFont val="Arial"/>
        <family val="2"/>
      </rPr>
      <t xml:space="preserve"> (cm²)</t>
    </r>
  </si>
  <si>
    <r>
      <t xml:space="preserve">NB :  </t>
    </r>
    <r>
      <rPr>
        <i/>
        <sz val="10"/>
        <rFont val="Arial"/>
        <family val="2"/>
      </rPr>
      <t xml:space="preserve">Les armatures // au grand cotè constituent le lit inférieur </t>
    </r>
  </si>
  <si>
    <t>B (m) ≥</t>
  </si>
  <si>
    <t>Prend B (m)</t>
  </si>
  <si>
    <t xml:space="preserve">A (m) </t>
  </si>
  <si>
    <t>Prend A (m)</t>
  </si>
  <si>
    <r>
      <t>h</t>
    </r>
    <r>
      <rPr>
        <b/>
        <sz val="8"/>
        <color indexed="61"/>
        <rFont val="Arial"/>
        <family val="2"/>
      </rPr>
      <t xml:space="preserve">t </t>
    </r>
    <r>
      <rPr>
        <b/>
        <sz val="10"/>
        <color indexed="61"/>
        <rFont val="Arial"/>
        <family val="2"/>
      </rPr>
      <t>(m) ≥</t>
    </r>
  </si>
  <si>
    <r>
      <t>Prend h</t>
    </r>
    <r>
      <rPr>
        <b/>
        <sz val="8"/>
        <color indexed="61"/>
        <rFont val="Arial"/>
        <family val="2"/>
      </rPr>
      <t xml:space="preserve">t </t>
    </r>
    <r>
      <rPr>
        <b/>
        <sz val="10"/>
        <color indexed="61"/>
        <rFont val="Arial"/>
        <family val="2"/>
      </rPr>
      <t xml:space="preserve">(m) </t>
    </r>
  </si>
  <si>
    <t>N' (t)</t>
  </si>
  <si>
    <r>
      <t>σ</t>
    </r>
    <r>
      <rPr>
        <b/>
        <sz val="8"/>
        <color indexed="61"/>
        <rFont val="Arial"/>
        <family val="2"/>
      </rPr>
      <t xml:space="preserve">s </t>
    </r>
    <r>
      <rPr>
        <b/>
        <sz val="10"/>
        <color indexed="61"/>
        <rFont val="Arial"/>
        <family val="2"/>
      </rPr>
      <t>(Mpa)</t>
    </r>
  </si>
  <si>
    <t>Stabilité de la semelle au renversement</t>
  </si>
  <si>
    <r>
      <t xml:space="preserve">            G + Q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Ex</t>
    </r>
  </si>
  <si>
    <r>
      <t xml:space="preserve">            G + Q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Ey</t>
    </r>
  </si>
  <si>
    <t xml:space="preserve">Vérification des contraintes dans le sol </t>
  </si>
  <si>
    <t>Vérification du Poinçonnement:</t>
  </si>
  <si>
    <t xml:space="preserve">Formule de Caquot  (calcul pratique des ossatures </t>
  </si>
  <si>
    <t>ht [m]</t>
  </si>
  <si>
    <t>ftj [kn/m²]</t>
  </si>
  <si>
    <t>Ancrages et longueur des barres</t>
  </si>
  <si>
    <t>Ø (mm)</t>
  </si>
  <si>
    <t>ζ's (Mpa)</t>
  </si>
  <si>
    <t>Ls (m)</t>
  </si>
  <si>
    <t>On compare Ls à 0,25B (//B) et 0,25A (//A)</t>
  </si>
  <si>
    <t>Repartition du ferraillage dans la semelle</t>
  </si>
  <si>
    <t>N et M avec leur signe</t>
  </si>
  <si>
    <t>Saisir les chiffres dans la couleur en bleue</t>
  </si>
  <si>
    <t>Effort normal à l'ELS</t>
  </si>
  <si>
    <t>Effort normal à l'ELU</t>
  </si>
  <si>
    <t>Moment à L'ELU</t>
  </si>
  <si>
    <t>Moment à L'ELU selon y</t>
  </si>
  <si>
    <r>
      <t>Effort normal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Ex</t>
    </r>
  </si>
  <si>
    <r>
      <t>Effort normal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Ey</t>
    </r>
  </si>
  <si>
    <r>
      <t>Moment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Ex</t>
    </r>
  </si>
  <si>
    <r>
      <t>Moment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Ey</t>
    </r>
  </si>
  <si>
    <r>
      <t>Effort normal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Ex</t>
    </r>
  </si>
  <si>
    <r>
      <t>Effort normal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Ey</t>
    </r>
  </si>
  <si>
    <r>
      <t>Moment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Ex</t>
    </r>
  </si>
  <si>
    <r>
      <t>Moment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Ey</t>
    </r>
  </si>
  <si>
    <t xml:space="preserve">Contrainte admissible du sol </t>
  </si>
  <si>
    <t>Contrainte de calcul des aciers à L'ELU</t>
  </si>
  <si>
    <t>Contrainte limite des aciers</t>
  </si>
  <si>
    <t>Resistance du beton a la compression à 28 jours</t>
  </si>
  <si>
    <t>Coef de scellement</t>
  </si>
  <si>
    <t>Coef de fissuration qui dépend de l'adhérence</t>
  </si>
  <si>
    <t>Petit coté du poteau</t>
  </si>
  <si>
    <t>Grande coté du poteau</t>
  </si>
  <si>
    <t>Enrobage des aciers</t>
  </si>
  <si>
    <t>Hauteur de l'avant poteau</t>
  </si>
  <si>
    <t>Contrainte de calcul des aciers à L'ELS</t>
  </si>
  <si>
    <t>Resistance du beton a la traction à 28 jours</t>
  </si>
  <si>
    <t>Dimensionnement</t>
  </si>
  <si>
    <t xml:space="preserve"> "Albert FUENTES" page 8)</t>
  </si>
  <si>
    <r>
      <t>s</t>
    </r>
    <r>
      <rPr>
        <sz val="10"/>
        <rFont val="Time new roman"/>
        <charset val="178"/>
      </rPr>
      <t xml:space="preserve">sol </t>
    </r>
    <r>
      <rPr>
        <b/>
        <sz val="10"/>
        <rFont val="Time new roman"/>
        <charset val="178"/>
      </rPr>
      <t>[kn/m²]</t>
    </r>
  </si>
  <si>
    <t>1.2ftj [kn/m²]</t>
  </si>
  <si>
    <t>Ferraillage</t>
  </si>
  <si>
    <t>selon x</t>
  </si>
  <si>
    <t>Longeur de la semelle // b</t>
  </si>
  <si>
    <t>Largeur de la semelle // a</t>
  </si>
  <si>
    <t>Hauteur de la semelle</t>
  </si>
  <si>
    <t xml:space="preserve">                ELU(x-x)</t>
  </si>
  <si>
    <t xml:space="preserve">                ELU (y-y)</t>
  </si>
  <si>
    <t xml:space="preserve">                ELU(y-y)</t>
  </si>
  <si>
    <t>Pc [m]</t>
  </si>
  <si>
    <t>ELS</t>
  </si>
  <si>
    <t>X-X</t>
  </si>
  <si>
    <t>NS</t>
  </si>
  <si>
    <t>MU</t>
  </si>
  <si>
    <t>N/0.8G+E</t>
  </si>
  <si>
    <t>M/0.8G+E</t>
  </si>
  <si>
    <t>N/G+Q+E</t>
  </si>
  <si>
    <t>M/G+Q+E</t>
  </si>
  <si>
    <t>Y-Y</t>
  </si>
  <si>
    <r>
      <t xml:space="preserve">         Semelle carrée selon B.A.E.L 91 révisé 99 </t>
    </r>
    <r>
      <rPr>
        <i/>
        <sz val="16"/>
        <rFont val="Bodoni MT Black"/>
        <family val="1"/>
      </rPr>
      <t xml:space="preserve"> (SEMELLE S1)</t>
    </r>
  </si>
  <si>
    <t xml:space="preserve">         Semelle carrée selon B.A.E.L 91 révisé 99  (SEMELLE S2)</t>
  </si>
  <si>
    <r>
      <t>M</t>
    </r>
    <r>
      <rPr>
        <b/>
        <sz val="8"/>
        <color indexed="61"/>
        <rFont val="Arial"/>
        <family val="2"/>
      </rPr>
      <t>u</t>
    </r>
    <r>
      <rPr>
        <b/>
        <sz val="10"/>
        <color indexed="61"/>
        <rFont val="Arial"/>
        <family val="2"/>
      </rPr>
      <t xml:space="preserve"> (t.m)</t>
    </r>
  </si>
  <si>
    <r>
      <t>N</t>
    </r>
    <r>
      <rPr>
        <b/>
        <sz val="8"/>
        <color indexed="61"/>
        <rFont val="Arial"/>
        <family val="2"/>
      </rPr>
      <t>0.8G±E</t>
    </r>
    <r>
      <rPr>
        <b/>
        <sz val="10"/>
        <color indexed="61"/>
        <rFont val="Arial"/>
        <family val="2"/>
      </rPr>
      <t xml:space="preserve"> (t)</t>
    </r>
  </si>
  <si>
    <r>
      <t>Effort normal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</t>
    </r>
  </si>
  <si>
    <r>
      <t>M</t>
    </r>
    <r>
      <rPr>
        <b/>
        <sz val="8"/>
        <color indexed="61"/>
        <rFont val="Arial"/>
        <family val="2"/>
      </rPr>
      <t>0.8G±E</t>
    </r>
    <r>
      <rPr>
        <b/>
        <sz val="10"/>
        <color indexed="61"/>
        <rFont val="Arial"/>
        <family val="2"/>
      </rPr>
      <t xml:space="preserve"> (t.m)</t>
    </r>
  </si>
  <si>
    <r>
      <t>Moment sous 0,8G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</t>
    </r>
  </si>
  <si>
    <r>
      <t>N</t>
    </r>
    <r>
      <rPr>
        <b/>
        <sz val="8"/>
        <color indexed="61"/>
        <rFont val="Arial"/>
        <family val="2"/>
      </rPr>
      <t>G+Q±E</t>
    </r>
    <r>
      <rPr>
        <b/>
        <sz val="10"/>
        <color indexed="61"/>
        <rFont val="Arial"/>
        <family val="2"/>
      </rPr>
      <t xml:space="preserve"> (t)</t>
    </r>
  </si>
  <si>
    <r>
      <t>Effort normal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</t>
    </r>
  </si>
  <si>
    <r>
      <t>M</t>
    </r>
    <r>
      <rPr>
        <b/>
        <sz val="8"/>
        <color indexed="61"/>
        <rFont val="Arial"/>
        <family val="2"/>
      </rPr>
      <t>G+Q±E</t>
    </r>
    <r>
      <rPr>
        <b/>
        <sz val="10"/>
        <color indexed="61"/>
        <rFont val="Arial"/>
        <family val="2"/>
      </rPr>
      <t xml:space="preserve"> (t.m)</t>
    </r>
  </si>
  <si>
    <r>
      <t>Moment sous G+Q</t>
    </r>
    <r>
      <rPr>
        <sz val="10"/>
        <rFont val="Arial"/>
        <family val="2"/>
      </rPr>
      <t>±</t>
    </r>
    <r>
      <rPr>
        <i/>
        <sz val="10"/>
        <rFont val="Arial"/>
        <family val="2"/>
      </rPr>
      <t>E</t>
    </r>
  </si>
  <si>
    <t>Epaisseur du mur</t>
  </si>
  <si>
    <r>
      <t>h</t>
    </r>
    <r>
      <rPr>
        <b/>
        <sz val="8"/>
        <color indexed="61"/>
        <rFont val="Arial"/>
        <family val="2"/>
      </rPr>
      <t>m</t>
    </r>
    <r>
      <rPr>
        <b/>
        <sz val="10"/>
        <color indexed="61"/>
        <rFont val="Arial"/>
        <family val="2"/>
      </rPr>
      <t xml:space="preserve"> (m)</t>
    </r>
  </si>
  <si>
    <t>Hauteur de l'avant mur</t>
  </si>
  <si>
    <t>L (m)</t>
  </si>
  <si>
    <t>Longueur du mur</t>
  </si>
  <si>
    <t>X (m)</t>
  </si>
  <si>
    <t xml:space="preserve">Longueur de la semelle </t>
  </si>
  <si>
    <t>Largeur de la semelle</t>
  </si>
  <si>
    <r>
      <t xml:space="preserve"> 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</t>
    </r>
  </si>
  <si>
    <r>
      <t xml:space="preserve">            G + Q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</t>
    </r>
  </si>
  <si>
    <t xml:space="preserve">                ELU</t>
  </si>
  <si>
    <r>
      <t xml:space="preserve">             0,8G </t>
    </r>
    <r>
      <rPr>
        <b/>
        <sz val="10"/>
        <color indexed="61"/>
        <rFont val="Times New Roman"/>
        <family val="1"/>
      </rPr>
      <t xml:space="preserve">± </t>
    </r>
    <r>
      <rPr>
        <b/>
        <sz val="10"/>
        <color indexed="61"/>
        <rFont val="Arial"/>
        <family val="2"/>
      </rPr>
      <t>E</t>
    </r>
  </si>
  <si>
    <t>Vérification de la poussée hydrostatique</t>
  </si>
  <si>
    <t xml:space="preserve"> il faut que </t>
  </si>
  <si>
    <r>
      <t xml:space="preserve"> N </t>
    </r>
    <r>
      <rPr>
        <b/>
        <sz val="11"/>
        <rFont val="Calibri"/>
        <family val="2"/>
      </rPr>
      <t>≥</t>
    </r>
    <r>
      <rPr>
        <b/>
        <sz val="11"/>
        <rFont val="Arial"/>
        <family val="2"/>
      </rPr>
      <t xml:space="preserve"> FsxHxSsx</t>
    </r>
    <r>
      <rPr>
        <b/>
        <sz val="12"/>
        <rFont val="Calibri"/>
        <family val="2"/>
      </rPr>
      <t>γ</t>
    </r>
    <r>
      <rPr>
        <b/>
        <sz val="11"/>
        <rFont val="Arial"/>
        <family val="2"/>
      </rPr>
      <t>w = B</t>
    </r>
  </si>
  <si>
    <t>Fs</t>
  </si>
  <si>
    <t xml:space="preserve">   : coéfficient de sécurité</t>
  </si>
  <si>
    <t>H</t>
  </si>
  <si>
    <t xml:space="preserve">   : Hauteur d'ancrage de la semelle</t>
  </si>
  <si>
    <t>Ss</t>
  </si>
  <si>
    <t>:    Surface de la semelle</t>
  </si>
  <si>
    <t xml:space="preserve">                       γw =10 KN/M3</t>
  </si>
  <si>
    <t xml:space="preserve">   : Poid volumique</t>
  </si>
  <si>
    <t>H(m)</t>
  </si>
  <si>
    <t>Ss(m2)</t>
  </si>
  <si>
    <t>γw(kn/m3)</t>
  </si>
  <si>
    <t>B</t>
  </si>
  <si>
    <t>vérification</t>
  </si>
  <si>
    <t>Sens // B (Sens principale)</t>
  </si>
  <si>
    <t>Sens // L (Sens secondaire)</t>
  </si>
  <si>
    <r>
      <t>A</t>
    </r>
    <r>
      <rPr>
        <b/>
        <sz val="8"/>
        <color indexed="61"/>
        <rFont val="Arial"/>
        <family val="2"/>
      </rPr>
      <t>//L</t>
    </r>
    <r>
      <rPr>
        <b/>
        <sz val="10"/>
        <color indexed="61"/>
        <rFont val="Arial"/>
        <family val="2"/>
      </rPr>
      <t xml:space="preserve"> (cm²)</t>
    </r>
  </si>
  <si>
    <r>
      <t>A</t>
    </r>
    <r>
      <rPr>
        <b/>
        <sz val="8"/>
        <color indexed="61"/>
        <rFont val="Arial"/>
        <family val="2"/>
      </rPr>
      <t>min</t>
    </r>
    <r>
      <rPr>
        <b/>
        <sz val="10"/>
        <color indexed="61"/>
        <rFont val="Arial"/>
        <family val="2"/>
      </rPr>
      <t xml:space="preserve"> (cm²)</t>
    </r>
  </si>
  <si>
    <t xml:space="preserve">On compare Ls à 0,25B (//B) </t>
  </si>
  <si>
    <t xml:space="preserve">        Semelle filante selon B.A.E.L 91 révisé 99 (Sf)</t>
  </si>
  <si>
    <t>rotation selon z pure</t>
  </si>
  <si>
    <t>≥ 90% taux de participation (x)</t>
  </si>
  <si>
    <t>≥ 90% taux de participation(y)</t>
  </si>
  <si>
    <r>
      <t>conditions(02)       min(b;h)</t>
    </r>
    <r>
      <rPr>
        <b/>
        <sz val="12"/>
        <color theme="1"/>
        <rFont val="Calibri"/>
        <family val="2"/>
      </rPr>
      <t>&gt;= he/20</t>
    </r>
  </si>
  <si>
    <r>
      <t xml:space="preserve">ex </t>
    </r>
    <r>
      <rPr>
        <b/>
        <sz val="12"/>
        <color theme="1"/>
        <rFont val="Calibri"/>
        <family val="2"/>
      </rPr>
      <t>≤ 15%Lx</t>
    </r>
  </si>
  <si>
    <r>
      <t xml:space="preserve">ey </t>
    </r>
    <r>
      <rPr>
        <b/>
        <sz val="12"/>
        <color theme="1"/>
        <rFont val="Calibri"/>
        <family val="2"/>
      </rPr>
      <t>≤ 15%Ly</t>
    </r>
  </si>
  <si>
    <r>
      <t xml:space="preserve">  5.5) </t>
    </r>
    <r>
      <rPr>
        <b/>
        <sz val="12"/>
        <rFont val="Times New Roman"/>
        <family val="1"/>
      </rPr>
      <t>Prédimensionnement des poteaux</t>
    </r>
    <r>
      <rPr>
        <sz val="12"/>
        <rFont val="Times New Roman"/>
        <family val="1"/>
      </rPr>
      <t>:</t>
    </r>
  </si>
  <si>
    <r>
      <t>α[Br.fc28/0.9Y</t>
    </r>
    <r>
      <rPr>
        <vertAlign val="subscript"/>
        <sz val="12"/>
        <color theme="1"/>
        <rFont val="Times New Roman"/>
        <family val="1"/>
      </rPr>
      <t xml:space="preserve">b </t>
    </r>
    <r>
      <rPr>
        <sz val="12"/>
        <color theme="1"/>
        <rFont val="Times New Roman"/>
        <family val="1"/>
      </rPr>
      <t>+A.fe/Y</t>
    </r>
    <r>
      <rPr>
        <vertAlign val="subscript"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 xml:space="preserve"> ]</t>
    </r>
  </si>
  <si>
    <r>
      <t>Y</t>
    </r>
    <r>
      <rPr>
        <vertAlign val="subscript"/>
        <sz val="12"/>
        <color theme="1"/>
        <rFont val="Times New Roman"/>
        <family val="1"/>
      </rPr>
      <t>b=</t>
    </r>
  </si>
  <si>
    <r>
      <t>Y</t>
    </r>
    <r>
      <rPr>
        <vertAlign val="subscript"/>
        <sz val="12"/>
        <color theme="1"/>
        <rFont val="Times New Roman"/>
        <family val="1"/>
      </rPr>
      <t>s=</t>
    </r>
  </si>
  <si>
    <r>
      <t>0.85/(1+0.2(ʎ/35)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)</t>
    </r>
  </si>
  <si>
    <r>
      <t>0.60(50/ʎ)</t>
    </r>
    <r>
      <rPr>
        <vertAlign val="superscript"/>
        <sz val="12"/>
        <color theme="1"/>
        <rFont val="Times New Roman"/>
        <family val="1"/>
      </rPr>
      <t>2</t>
    </r>
  </si>
  <si>
    <r>
      <t>·</t>
    </r>
    <r>
      <rPr>
        <sz val="12"/>
        <color theme="1"/>
        <rFont val="Times New Roman"/>
        <family val="1"/>
      </rPr>
      <t xml:space="preserve">    </t>
    </r>
    <r>
      <rPr>
        <u/>
        <sz val="12"/>
        <color theme="1"/>
        <rFont val="Times New Roman"/>
        <family val="1"/>
      </rPr>
      <t>Condition</t>
    </r>
    <r>
      <rPr>
        <sz val="12"/>
        <color theme="1"/>
        <rFont val="Times New Roman"/>
        <family val="1"/>
      </rPr>
      <t xml:space="preserve"> </t>
    </r>
    <r>
      <rPr>
        <u/>
        <sz val="12"/>
        <color theme="1"/>
        <rFont val="Times New Roman"/>
        <family val="1"/>
      </rPr>
      <t>de</t>
    </r>
    <r>
      <rPr>
        <sz val="12"/>
        <color theme="1"/>
        <rFont val="Times New Roman"/>
        <family val="1"/>
      </rPr>
      <t xml:space="preserve"> </t>
    </r>
    <r>
      <rPr>
        <u/>
        <sz val="12"/>
        <color theme="1"/>
        <rFont val="Times New Roman"/>
        <family val="1"/>
      </rPr>
      <t>non</t>
    </r>
    <r>
      <rPr>
        <sz val="12"/>
        <color theme="1"/>
        <rFont val="Times New Roman"/>
        <family val="1"/>
      </rPr>
      <t xml:space="preserve"> </t>
    </r>
    <r>
      <rPr>
        <u/>
        <sz val="12"/>
        <color theme="1"/>
        <rFont val="Times New Roman"/>
        <family val="1"/>
      </rPr>
      <t>flambement :</t>
    </r>
  </si>
  <si>
    <r>
      <t>l</t>
    </r>
    <r>
      <rPr>
        <sz val="12"/>
        <color theme="1"/>
        <rFont val="Footlight MT Light"/>
        <family val="1"/>
      </rPr>
      <t xml:space="preserve">  </t>
    </r>
    <r>
      <rPr>
        <sz val="12"/>
        <color theme="1"/>
        <rFont val="Calibri"/>
        <family val="2"/>
      </rPr>
      <t>≤</t>
    </r>
    <r>
      <rPr>
        <sz val="12"/>
        <color theme="1"/>
        <rFont val="Footlight MT Light"/>
        <family val="1"/>
      </rPr>
      <t xml:space="preserve"> </t>
    </r>
    <r>
      <rPr>
        <sz val="12"/>
        <color theme="1"/>
        <rFont val="Symbol"/>
        <family val="1"/>
        <charset val="2"/>
      </rPr>
      <t xml:space="preserve">  50</t>
    </r>
  </si>
  <si>
    <r>
      <t xml:space="preserve">  5.4) </t>
    </r>
    <r>
      <rPr>
        <b/>
        <sz val="12"/>
        <rFont val="Times New Roman"/>
        <family val="1"/>
      </rPr>
      <t>Prédimensionnement des escaliers</t>
    </r>
    <r>
      <rPr>
        <sz val="12"/>
        <rFont val="Times New Roman"/>
        <family val="1"/>
      </rPr>
      <t>:</t>
    </r>
  </si>
  <si>
    <r>
      <t xml:space="preserve">I.  </t>
    </r>
    <r>
      <rPr>
        <b/>
        <u/>
        <sz val="12"/>
        <rFont val="Times New Roman"/>
        <family val="1"/>
      </rPr>
      <t>Descriptionde l'ouvrage</t>
    </r>
    <r>
      <rPr>
        <sz val="12"/>
        <rFont val="Times New Roman"/>
        <family val="1"/>
      </rPr>
      <t xml:space="preserve">:      </t>
    </r>
  </si>
  <si>
    <r>
      <t xml:space="preserve">  1.1) </t>
    </r>
    <r>
      <rPr>
        <b/>
        <sz val="12"/>
        <rFont val="Times New Roman"/>
        <family val="1"/>
      </rPr>
      <t>Situation</t>
    </r>
    <r>
      <rPr>
        <sz val="12"/>
        <rFont val="Times New Roman"/>
        <family val="1"/>
      </rPr>
      <t>:</t>
    </r>
  </si>
  <si>
    <r>
      <t xml:space="preserve">  1.2) </t>
    </r>
    <r>
      <rPr>
        <b/>
        <sz val="12"/>
        <rFont val="Times New Roman"/>
        <family val="1"/>
      </rPr>
      <t>Description architecturale</t>
    </r>
    <r>
      <rPr>
        <sz val="12"/>
        <rFont val="Times New Roman"/>
        <family val="1"/>
      </rPr>
      <t>:</t>
    </r>
  </si>
  <si>
    <r>
      <t xml:space="preserve">  1.3) </t>
    </r>
    <r>
      <rPr>
        <b/>
        <sz val="12"/>
        <rFont val="Times New Roman"/>
        <family val="1"/>
      </rPr>
      <t>Description structurale</t>
    </r>
    <r>
      <rPr>
        <sz val="12"/>
        <rFont val="Times New Roman"/>
        <family val="1"/>
      </rPr>
      <t>:</t>
    </r>
  </si>
  <si>
    <r>
      <t xml:space="preserve">    </t>
    </r>
    <r>
      <rPr>
        <b/>
        <sz val="12"/>
        <color theme="1"/>
        <rFont val="Calibri"/>
        <family val="2"/>
        <scheme val="minor"/>
      </rPr>
      <t xml:space="preserve"> L'ossature</t>
    </r>
    <r>
      <rPr>
        <sz val="12"/>
        <color theme="1"/>
        <rFont val="Calibri"/>
        <family val="2"/>
        <scheme val="minor"/>
      </rPr>
      <t>:</t>
    </r>
  </si>
  <si>
    <r>
      <t xml:space="preserve">   Vue la hauteur du projet, et d'après l'article </t>
    </r>
    <r>
      <rPr>
        <b/>
        <sz val="12"/>
        <color theme="1"/>
        <rFont val="Calibri"/>
        <family val="2"/>
        <scheme val="minor"/>
      </rPr>
      <t>3.4.A.1.a</t>
    </r>
    <r>
      <rPr>
        <sz val="12"/>
        <color theme="1"/>
        <rFont val="Calibri"/>
        <family val="2"/>
        <scheme val="minor"/>
      </rPr>
      <t xml:space="preserve">  du </t>
    </r>
    <r>
      <rPr>
        <b/>
        <sz val="12"/>
        <color theme="1"/>
        <rFont val="Calibri"/>
        <family val="2"/>
        <scheme val="minor"/>
      </rPr>
      <t>RPA99/v2003</t>
    </r>
    <r>
      <rPr>
        <sz val="12"/>
        <color theme="1"/>
        <rFont val="Calibri"/>
        <family val="2"/>
        <scheme val="minor"/>
      </rPr>
      <t xml:space="preserve">, tout ouvrage dépas- </t>
    </r>
  </si>
  <si>
    <r>
      <t xml:space="preserve">    </t>
    </r>
    <r>
      <rPr>
        <b/>
        <sz val="12"/>
        <color theme="1"/>
        <rFont val="Calibri"/>
        <family val="2"/>
        <scheme val="minor"/>
      </rPr>
      <t xml:space="preserve"> Les planchers</t>
    </r>
    <r>
      <rPr>
        <sz val="12"/>
        <color theme="1"/>
        <rFont val="Calibri"/>
        <family val="2"/>
        <scheme val="minor"/>
      </rPr>
      <t>:</t>
    </r>
  </si>
  <si>
    <r>
      <t xml:space="preserve">II.  </t>
    </r>
    <r>
      <rPr>
        <b/>
        <u/>
        <sz val="12"/>
        <rFont val="Times New Roman"/>
        <family val="1"/>
      </rPr>
      <t>Règlements et normes de calculs</t>
    </r>
    <r>
      <rPr>
        <sz val="12"/>
        <rFont val="Times New Roman"/>
        <family val="1"/>
      </rPr>
      <t xml:space="preserve">:     </t>
    </r>
  </si>
  <si>
    <r>
      <t xml:space="preserve">III.  </t>
    </r>
    <r>
      <rPr>
        <b/>
        <u/>
        <sz val="12"/>
        <rFont val="Times New Roman"/>
        <family val="1"/>
      </rPr>
      <t>Caractéristiques mécaniques des matériaux</t>
    </r>
    <r>
      <rPr>
        <sz val="12"/>
        <rFont val="Times New Roman"/>
        <family val="1"/>
      </rPr>
      <t>:</t>
    </r>
  </si>
  <si>
    <r>
      <t xml:space="preserve">  3.1) </t>
    </r>
    <r>
      <rPr>
        <b/>
        <sz val="12"/>
        <rFont val="Times New Roman"/>
        <family val="1"/>
      </rPr>
      <t>Le béton</t>
    </r>
    <r>
      <rPr>
        <sz val="12"/>
        <rFont val="Times New Roman"/>
        <family val="1"/>
      </rPr>
      <t>:</t>
    </r>
  </si>
  <si>
    <r>
      <t xml:space="preserve">  3.1.1_ </t>
    </r>
    <r>
      <rPr>
        <b/>
        <sz val="12"/>
        <rFont val="Times New Roman"/>
        <family val="1"/>
      </rPr>
      <t>A l'E.L.U</t>
    </r>
    <r>
      <rPr>
        <sz val="12"/>
        <rFont val="Times New Roman"/>
        <family val="1"/>
      </rPr>
      <t>:</t>
    </r>
  </si>
  <si>
    <r>
      <t xml:space="preserve">  3.1.2_ </t>
    </r>
    <r>
      <rPr>
        <b/>
        <sz val="12"/>
        <rFont val="Times New Roman"/>
        <family val="1"/>
      </rPr>
      <t>A l'E.L.S</t>
    </r>
    <r>
      <rPr>
        <sz val="12"/>
        <rFont val="Times New Roman"/>
        <family val="1"/>
      </rPr>
      <t>:</t>
    </r>
  </si>
  <si>
    <r>
      <t xml:space="preserve">  3.1.3_ </t>
    </r>
    <r>
      <rPr>
        <b/>
        <sz val="12"/>
        <rFont val="Times New Roman"/>
        <family val="1"/>
      </rPr>
      <t>Déformation longitudinale du béton</t>
    </r>
    <r>
      <rPr>
        <sz val="12"/>
        <rFont val="Times New Roman"/>
        <family val="1"/>
      </rPr>
      <t>:</t>
    </r>
  </si>
  <si>
    <r>
      <t xml:space="preserve">  3.1.4_ </t>
    </r>
    <r>
      <rPr>
        <b/>
        <sz val="12"/>
        <rFont val="Times New Roman"/>
        <family val="1"/>
      </rPr>
      <t>Coefficient de Poisson</t>
    </r>
    <r>
      <rPr>
        <sz val="12"/>
        <rFont val="Times New Roman"/>
        <family val="1"/>
      </rPr>
      <t>:</t>
    </r>
  </si>
  <si>
    <r>
      <t xml:space="preserve">  3.1.5_ </t>
    </r>
    <r>
      <rPr>
        <b/>
        <sz val="12"/>
        <color theme="1"/>
        <rFont val="Times New Roman"/>
        <family val="1"/>
      </rPr>
      <t>Composition du béton</t>
    </r>
    <r>
      <rPr>
        <sz val="12"/>
        <color theme="1"/>
        <rFont val="Times New Roman"/>
        <family val="1"/>
      </rPr>
      <t>:</t>
    </r>
  </si>
  <si>
    <r>
      <t xml:space="preserve">  3.2) </t>
    </r>
    <r>
      <rPr>
        <b/>
        <sz val="12"/>
        <rFont val="Times New Roman"/>
        <family val="1"/>
      </rPr>
      <t>Les armatures (l'acier)</t>
    </r>
    <r>
      <rPr>
        <sz val="12"/>
        <rFont val="Times New Roman"/>
        <family val="1"/>
      </rPr>
      <t>:</t>
    </r>
  </si>
  <si>
    <r>
      <t xml:space="preserve">  3.2.1_ </t>
    </r>
    <r>
      <rPr>
        <b/>
        <sz val="12"/>
        <rFont val="Times New Roman"/>
        <family val="1"/>
      </rPr>
      <t>A l'E.L.U</t>
    </r>
    <r>
      <rPr>
        <sz val="12"/>
        <rFont val="Times New Roman"/>
        <family val="1"/>
      </rPr>
      <t>:</t>
    </r>
  </si>
  <si>
    <r>
      <t>g</t>
    </r>
    <r>
      <rPr>
        <vertAlign val="subscript"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 xml:space="preserve"> = 1.15     pour les situations normales</t>
    </r>
  </si>
  <si>
    <r>
      <t>g</t>
    </r>
    <r>
      <rPr>
        <vertAlign val="subscript"/>
        <sz val="12"/>
        <color theme="1"/>
        <rFont val="Times New Roman"/>
        <family val="1"/>
      </rPr>
      <t>s</t>
    </r>
    <r>
      <rPr>
        <sz val="12"/>
        <color theme="1"/>
        <rFont val="Times New Roman"/>
        <family val="1"/>
      </rPr>
      <t xml:space="preserve"> = 1.00     pour les situations </t>
    </r>
  </si>
  <si>
    <r>
      <t xml:space="preserve">  3.2.2_ </t>
    </r>
    <r>
      <rPr>
        <b/>
        <sz val="12"/>
        <rFont val="Times New Roman"/>
        <family val="1"/>
      </rPr>
      <t>A l'E.L.S</t>
    </r>
    <r>
      <rPr>
        <sz val="12"/>
        <rFont val="Times New Roman"/>
        <family val="1"/>
      </rPr>
      <t>:</t>
    </r>
  </si>
  <si>
    <r>
      <t xml:space="preserve">    - Cas de la</t>
    </r>
    <r>
      <rPr>
        <i/>
        <u/>
        <sz val="12"/>
        <rFont val="Times New Roman"/>
        <family val="1"/>
      </rPr>
      <t xml:space="preserve"> Fissuration Peu  Préjudiciable</t>
    </r>
    <r>
      <rPr>
        <i/>
        <sz val="12"/>
        <rFont val="Times New Roman"/>
        <family val="1"/>
      </rPr>
      <t xml:space="preserve">:  aucune vérification n’est préconisée, les   </t>
    </r>
  </si>
  <si>
    <r>
      <t xml:space="preserve">    - Cas de la </t>
    </r>
    <r>
      <rPr>
        <i/>
        <u/>
        <sz val="12"/>
        <rFont val="Times New Roman"/>
        <family val="1"/>
      </rPr>
      <t>Fissuration Préjudiciable</t>
    </r>
    <r>
      <rPr>
        <i/>
        <sz val="12"/>
        <rFont val="Times New Roman"/>
        <family val="1"/>
      </rPr>
      <t>:  les contraintes dans l’acier sont limitées à:</t>
    </r>
  </si>
  <si>
    <r>
      <t xml:space="preserve">    - Cas de la </t>
    </r>
    <r>
      <rPr>
        <i/>
        <u/>
        <sz val="12"/>
        <rFont val="Times New Roman"/>
        <family val="1"/>
      </rPr>
      <t>Fissuration Très Préjudiciable</t>
    </r>
    <r>
      <rPr>
        <i/>
        <sz val="12"/>
        <rFont val="Times New Roman"/>
        <family val="1"/>
      </rPr>
      <t>:  les contraintes dans l’acier sont limitées à:</t>
    </r>
  </si>
  <si>
    <r>
      <t xml:space="preserve">IV.  </t>
    </r>
    <r>
      <rPr>
        <b/>
        <u/>
        <sz val="12"/>
        <rFont val="Times New Roman"/>
        <family val="1"/>
      </rPr>
      <t>Evaluation des charges et des surcharges</t>
    </r>
    <r>
      <rPr>
        <sz val="12"/>
        <rFont val="Times New Roman"/>
        <family val="1"/>
      </rPr>
      <t>:</t>
    </r>
  </si>
  <si>
    <r>
      <t xml:space="preserve">  4.1) </t>
    </r>
    <r>
      <rPr>
        <b/>
        <sz val="12"/>
        <rFont val="Times New Roman"/>
        <family val="1"/>
      </rPr>
      <t>Charges verticales</t>
    </r>
    <r>
      <rPr>
        <sz val="12"/>
        <rFont val="Times New Roman"/>
        <family val="1"/>
      </rPr>
      <t>:</t>
    </r>
  </si>
  <si>
    <r>
      <t xml:space="preserve">  4.1.1_ </t>
    </r>
    <r>
      <rPr>
        <b/>
        <sz val="12"/>
        <rFont val="Times New Roman"/>
        <family val="1"/>
      </rPr>
      <t>Charges permanentes (G)</t>
    </r>
    <r>
      <rPr>
        <sz val="12"/>
        <rFont val="Times New Roman"/>
        <family val="1"/>
      </rPr>
      <t>:</t>
    </r>
  </si>
  <si>
    <r>
      <t xml:space="preserve">  - Etage courant (plancher Corps-creux "16+4"): G=</t>
    </r>
    <r>
      <rPr>
        <b/>
        <sz val="12"/>
        <rFont val="Calibri"/>
        <family val="2"/>
        <scheme val="minor"/>
      </rPr>
      <t xml:space="preserve">5.00 </t>
    </r>
    <r>
      <rPr>
        <sz val="12"/>
        <rFont val="Calibri"/>
        <family val="2"/>
        <scheme val="minor"/>
      </rPr>
      <t>Kn/m².</t>
    </r>
  </si>
  <si>
    <r>
      <t xml:space="preserve">  - (plancher Dalle pleine "e=15 cm"): G=</t>
    </r>
    <r>
      <rPr>
        <b/>
        <sz val="12"/>
        <rFont val="Calibri"/>
        <family val="2"/>
        <scheme val="minor"/>
      </rPr>
      <t xml:space="preserve">6.80 </t>
    </r>
    <r>
      <rPr>
        <sz val="12"/>
        <rFont val="Calibri"/>
        <family val="2"/>
        <scheme val="minor"/>
      </rPr>
      <t>Kn/m².</t>
    </r>
  </si>
  <si>
    <r>
      <t xml:space="preserve">  - (palier de repos "e=15 cm"): G=</t>
    </r>
    <r>
      <rPr>
        <b/>
        <sz val="12"/>
        <rFont val="Calibri"/>
        <family val="2"/>
        <scheme val="minor"/>
      </rPr>
      <t xml:space="preserve">5.80 </t>
    </r>
    <r>
      <rPr>
        <sz val="12"/>
        <rFont val="Calibri"/>
        <family val="2"/>
        <scheme val="minor"/>
      </rPr>
      <t>Kn/m².</t>
    </r>
  </si>
  <si>
    <r>
      <t xml:space="preserve">  - (paillasse "e=15 cm"): G=</t>
    </r>
    <r>
      <rPr>
        <b/>
        <sz val="12"/>
        <rFont val="Calibri"/>
        <family val="2"/>
        <scheme val="minor"/>
      </rPr>
      <t xml:space="preserve">7.80 </t>
    </r>
    <r>
      <rPr>
        <sz val="12"/>
        <rFont val="Calibri"/>
        <family val="2"/>
        <scheme val="minor"/>
      </rPr>
      <t>Kn/m².</t>
    </r>
  </si>
  <si>
    <r>
      <t xml:space="preserve">  - Maconnerie double cloison : G=</t>
    </r>
    <r>
      <rPr>
        <b/>
        <sz val="12"/>
        <color theme="1"/>
        <rFont val="Calibri"/>
        <family val="2"/>
        <scheme val="minor"/>
      </rPr>
      <t xml:space="preserve">280 </t>
    </r>
    <r>
      <rPr>
        <sz val="12"/>
        <color theme="1"/>
        <rFont val="Calibri"/>
        <family val="2"/>
        <scheme val="minor"/>
      </rPr>
      <t>Kg/m².</t>
    </r>
  </si>
  <si>
    <r>
      <t xml:space="preserve">  4.1.2_ </t>
    </r>
    <r>
      <rPr>
        <b/>
        <sz val="12"/>
        <rFont val="Times New Roman"/>
        <family val="1"/>
      </rPr>
      <t>Charges d'exploitations (Q)</t>
    </r>
    <r>
      <rPr>
        <sz val="12"/>
        <rFont val="Times New Roman"/>
        <family val="1"/>
      </rPr>
      <t>:</t>
    </r>
  </si>
  <si>
    <r>
      <t xml:space="preserve">  - A usage d'habitation            Q=</t>
    </r>
    <r>
      <rPr>
        <b/>
        <sz val="12"/>
        <color theme="1"/>
        <rFont val="Calibri"/>
        <family val="2"/>
        <scheme val="minor"/>
      </rPr>
      <t>1.5</t>
    </r>
    <r>
      <rPr>
        <sz val="12"/>
        <color theme="1"/>
        <rFont val="Calibri"/>
        <family val="2"/>
        <scheme val="minor"/>
      </rPr>
      <t xml:space="preserve"> Kn/m².</t>
    </r>
  </si>
  <si>
    <r>
      <t xml:space="preserve">  - Terrasse inaccessible                Q=</t>
    </r>
    <r>
      <rPr>
        <b/>
        <sz val="12"/>
        <color theme="1"/>
        <rFont val="Calibri"/>
        <family val="2"/>
        <scheme val="minor"/>
      </rPr>
      <t>1.00</t>
    </r>
    <r>
      <rPr>
        <sz val="12"/>
        <color theme="1"/>
        <rFont val="Calibri"/>
        <family val="2"/>
        <scheme val="minor"/>
      </rPr>
      <t xml:space="preserve"> Kn/m².</t>
    </r>
  </si>
  <si>
    <r>
      <t xml:space="preserve">  - Escalier                                         Q=</t>
    </r>
    <r>
      <rPr>
        <b/>
        <sz val="12"/>
        <color theme="1"/>
        <rFont val="Calibri"/>
        <family val="2"/>
        <scheme val="minor"/>
      </rPr>
      <t>250</t>
    </r>
    <r>
      <rPr>
        <sz val="12"/>
        <color theme="1"/>
        <rFont val="Calibri"/>
        <family val="2"/>
        <scheme val="minor"/>
      </rPr>
      <t xml:space="preserve"> Kn/m².</t>
    </r>
  </si>
  <si>
    <r>
      <t xml:space="preserve">  - balcon                                         Q=</t>
    </r>
    <r>
      <rPr>
        <b/>
        <sz val="12"/>
        <color theme="1"/>
        <rFont val="Calibri"/>
        <family val="2"/>
        <scheme val="minor"/>
      </rPr>
      <t>3.50</t>
    </r>
    <r>
      <rPr>
        <sz val="12"/>
        <color theme="1"/>
        <rFont val="Calibri"/>
        <family val="2"/>
        <scheme val="minor"/>
      </rPr>
      <t xml:space="preserve"> Kn/m².</t>
    </r>
  </si>
  <si>
    <r>
      <t xml:space="preserve">  4.2) </t>
    </r>
    <r>
      <rPr>
        <b/>
        <sz val="12"/>
        <rFont val="Times New Roman"/>
        <family val="1"/>
      </rPr>
      <t>Charges horizontales</t>
    </r>
    <r>
      <rPr>
        <sz val="12"/>
        <rFont val="Times New Roman"/>
        <family val="1"/>
      </rPr>
      <t xml:space="preserve">: </t>
    </r>
    <r>
      <rPr>
        <sz val="12"/>
        <rFont val="Calibri"/>
        <family val="2"/>
        <scheme val="minor"/>
      </rPr>
      <t>(Etude Sismique)</t>
    </r>
  </si>
  <si>
    <r>
      <t xml:space="preserve">V.  </t>
    </r>
    <r>
      <rPr>
        <b/>
        <u/>
        <sz val="12"/>
        <rFont val="Times New Roman"/>
        <family val="1"/>
      </rPr>
      <t>Coffrage et prédimensionnement des éléments de la structure</t>
    </r>
    <r>
      <rPr>
        <sz val="12"/>
        <rFont val="Times New Roman"/>
        <family val="1"/>
      </rPr>
      <t>:</t>
    </r>
  </si>
  <si>
    <r>
      <t xml:space="preserve">  5.1) </t>
    </r>
    <r>
      <rPr>
        <b/>
        <sz val="12"/>
        <rFont val="Times New Roman"/>
        <family val="1"/>
      </rPr>
      <t>Prédimensionnement des planchers</t>
    </r>
    <r>
      <rPr>
        <sz val="12"/>
        <rFont val="Times New Roman"/>
        <family val="1"/>
      </rPr>
      <t>:</t>
    </r>
  </si>
  <si>
    <r>
      <t xml:space="preserve">  5.1.1_ </t>
    </r>
    <r>
      <rPr>
        <b/>
        <sz val="12"/>
        <rFont val="Times New Roman"/>
        <family val="1"/>
      </rPr>
      <t>Les planchers à corps-creux</t>
    </r>
    <r>
      <rPr>
        <sz val="12"/>
        <rFont val="Times New Roman"/>
        <family val="1"/>
      </rPr>
      <t>:</t>
    </r>
  </si>
  <si>
    <r>
      <t xml:space="preserve">  5.1.2_ </t>
    </r>
    <r>
      <rPr>
        <b/>
        <sz val="12"/>
        <rFont val="Times New Roman"/>
        <family val="1"/>
      </rPr>
      <t>Les planchers dalles pleines</t>
    </r>
    <r>
      <rPr>
        <sz val="12"/>
        <rFont val="Times New Roman"/>
        <family val="1"/>
      </rPr>
      <t>:</t>
    </r>
  </si>
  <si>
    <r>
      <t xml:space="preserve">    - Cas de dalle </t>
    </r>
    <r>
      <rPr>
        <i/>
        <u/>
        <sz val="12"/>
        <rFont val="Times New Roman"/>
        <family val="1"/>
      </rPr>
      <t>reposant sur (01) un appui</t>
    </r>
    <r>
      <rPr>
        <i/>
        <sz val="12"/>
        <rFont val="Times New Roman"/>
        <family val="1"/>
      </rPr>
      <t xml:space="preserve"> : </t>
    </r>
  </si>
  <si>
    <r>
      <t xml:space="preserve">    - Cas de dalle </t>
    </r>
    <r>
      <rPr>
        <i/>
        <u/>
        <sz val="12"/>
        <rFont val="Times New Roman"/>
        <family val="1"/>
      </rPr>
      <t>reposant sur (02) deux appuis</t>
    </r>
    <r>
      <rPr>
        <i/>
        <sz val="12"/>
        <rFont val="Times New Roman"/>
        <family val="1"/>
      </rPr>
      <t xml:space="preserve"> : </t>
    </r>
  </si>
  <si>
    <r>
      <t xml:space="preserve">    - Cas de dalle </t>
    </r>
    <r>
      <rPr>
        <i/>
        <u/>
        <sz val="12"/>
        <rFont val="Times New Roman"/>
        <family val="1"/>
      </rPr>
      <t>reposant sur (03) ou (04) appuis</t>
    </r>
    <r>
      <rPr>
        <i/>
        <sz val="12"/>
        <rFont val="Times New Roman"/>
        <family val="1"/>
      </rPr>
      <t xml:space="preserve"> : </t>
    </r>
  </si>
  <si>
    <r>
      <t xml:space="preserve">  5.2) </t>
    </r>
    <r>
      <rPr>
        <b/>
        <sz val="12"/>
        <rFont val="Times New Roman"/>
        <family val="1"/>
      </rPr>
      <t>Prédimensionnement des poutres</t>
    </r>
    <r>
      <rPr>
        <sz val="12"/>
        <rFont val="Times New Roman"/>
        <family val="1"/>
      </rPr>
      <t>:</t>
    </r>
  </si>
  <si>
    <r>
      <t xml:space="preserve">  5.2.2_ </t>
    </r>
    <r>
      <rPr>
        <b/>
        <sz val="12"/>
        <rFont val="Times New Roman"/>
        <family val="1"/>
      </rPr>
      <t>Les poutres secondaires</t>
    </r>
    <r>
      <rPr>
        <sz val="12"/>
        <rFont val="Times New Roman"/>
        <family val="1"/>
      </rPr>
      <t>:</t>
    </r>
  </si>
  <si>
    <r>
      <t xml:space="preserve"> </t>
    </r>
    <r>
      <rPr>
        <sz val="12"/>
        <color theme="1"/>
        <rFont val="Times New Roman"/>
        <family val="1"/>
      </rPr>
      <t>On doit  vérifier  ces  dimensions  par  la  descente  des  charges  par  la  suite</t>
    </r>
  </si>
  <si>
    <r>
      <t xml:space="preserve">VI.  </t>
    </r>
    <r>
      <rPr>
        <b/>
        <u/>
        <sz val="12"/>
        <rFont val="Times New Roman"/>
        <family val="1"/>
      </rPr>
      <t>Etude de la superstructure</t>
    </r>
    <r>
      <rPr>
        <sz val="12"/>
        <rFont val="Times New Roman"/>
        <family val="1"/>
      </rPr>
      <t>:</t>
    </r>
  </si>
  <si>
    <r>
      <t xml:space="preserve">  6.1) </t>
    </r>
    <r>
      <rPr>
        <b/>
        <sz val="12"/>
        <rFont val="Times New Roman"/>
        <family val="1"/>
      </rPr>
      <t>Etude dynamique (Sismique)</t>
    </r>
    <r>
      <rPr>
        <sz val="12"/>
        <rFont val="Times New Roman"/>
        <family val="1"/>
      </rPr>
      <t>:</t>
    </r>
  </si>
  <si>
    <r>
      <t xml:space="preserve">  6.1.1_ </t>
    </r>
    <r>
      <rPr>
        <b/>
        <sz val="12"/>
        <rFont val="Times New Roman"/>
        <family val="1"/>
      </rPr>
      <t xml:space="preserve">Vérification de l'éxcentricité selon RPA2003 </t>
    </r>
    <r>
      <rPr>
        <sz val="12"/>
        <rFont val="Times New Roman"/>
        <family val="1"/>
      </rPr>
      <t>:</t>
    </r>
  </si>
  <si>
    <r>
      <t xml:space="preserve">  6.1.2_ </t>
    </r>
    <r>
      <rPr>
        <b/>
        <sz val="12"/>
        <rFont val="Times New Roman"/>
        <family val="1"/>
      </rPr>
      <t>Estimation de la période fondamentale expérimentale (Texp)</t>
    </r>
    <r>
      <rPr>
        <sz val="12"/>
        <rFont val="Times New Roman"/>
        <family val="1"/>
      </rPr>
      <t>:</t>
    </r>
  </si>
  <si>
    <r>
      <t xml:space="preserve">         _ </t>
    </r>
    <r>
      <rPr>
        <b/>
        <sz val="12"/>
        <rFont val="Times New Roman"/>
        <family val="1"/>
      </rPr>
      <t>Vérification de la période numérique de la structure (Tnumérique)</t>
    </r>
    <r>
      <rPr>
        <sz val="12"/>
        <rFont val="Times New Roman"/>
        <family val="1"/>
      </rPr>
      <t>:</t>
    </r>
  </si>
  <si>
    <r>
      <t xml:space="preserve">6.1.3_ </t>
    </r>
    <r>
      <rPr>
        <b/>
        <sz val="12"/>
        <rFont val="Times New Roman"/>
        <family val="1"/>
      </rPr>
      <t>Estimation de l'effort sismique à la base de la structure (Vst)</t>
    </r>
    <r>
      <rPr>
        <sz val="12"/>
        <rFont val="Times New Roman"/>
        <family val="1"/>
      </rPr>
      <t>:</t>
    </r>
  </si>
  <si>
    <r>
      <t xml:space="preserve">    - Le coefficient d'accélération de zone (</t>
    </r>
    <r>
      <rPr>
        <b/>
        <i/>
        <sz val="12"/>
        <rFont val="Times New Roman"/>
        <family val="1"/>
      </rPr>
      <t>A</t>
    </r>
    <r>
      <rPr>
        <i/>
        <sz val="12"/>
        <rFont val="Times New Roman"/>
        <family val="1"/>
      </rPr>
      <t>) :</t>
    </r>
  </si>
  <si>
    <r>
      <t xml:space="preserve">    - Facteur d'amplification dynamique moyen (</t>
    </r>
    <r>
      <rPr>
        <b/>
        <i/>
        <sz val="12"/>
        <rFont val="Times New Roman"/>
        <family val="1"/>
      </rPr>
      <t>Dx,y</t>
    </r>
    <r>
      <rPr>
        <i/>
        <sz val="12"/>
        <rFont val="Times New Roman"/>
        <family val="1"/>
      </rPr>
      <t>) :</t>
    </r>
  </si>
  <si>
    <r>
      <rPr>
        <sz val="12"/>
        <color theme="1"/>
        <rFont val="Calibri"/>
        <family val="2"/>
      </rPr>
      <t>0&lt;</t>
    </r>
    <r>
      <rPr>
        <sz val="12"/>
        <color theme="1"/>
        <rFont val="Calibri"/>
        <family val="2"/>
        <scheme val="minor"/>
      </rPr>
      <t>T</t>
    </r>
    <r>
      <rPr>
        <sz val="12"/>
        <color theme="1"/>
        <rFont val="Calibri"/>
        <family val="2"/>
      </rPr>
      <t>≤T2</t>
    </r>
  </si>
  <si>
    <r>
      <rPr>
        <sz val="12"/>
        <color theme="1"/>
        <rFont val="Calibri"/>
        <family val="2"/>
      </rPr>
      <t>T2&lt;</t>
    </r>
    <r>
      <rPr>
        <sz val="12"/>
        <color theme="1"/>
        <rFont val="Calibri"/>
        <family val="2"/>
        <scheme val="minor"/>
      </rPr>
      <t>T</t>
    </r>
    <r>
      <rPr>
        <sz val="12"/>
        <color theme="1"/>
        <rFont val="Calibri"/>
        <family val="2"/>
      </rPr>
      <t>≤3.0 sec</t>
    </r>
  </si>
  <si>
    <r>
      <t>T</t>
    </r>
    <r>
      <rPr>
        <sz val="12"/>
        <color theme="1"/>
        <rFont val="Calibri"/>
        <family val="2"/>
      </rPr>
      <t>≥3.0 sec</t>
    </r>
  </si>
  <si>
    <r>
      <t xml:space="preserve">  6.1.4_ </t>
    </r>
    <r>
      <rPr>
        <b/>
        <sz val="12"/>
        <rFont val="Times New Roman"/>
        <family val="1"/>
      </rPr>
      <t>Périodes et taux de participation massique:</t>
    </r>
  </si>
  <si>
    <r>
      <t xml:space="preserve">  6.1.6_ </t>
    </r>
    <r>
      <rPr>
        <b/>
        <sz val="12"/>
        <rFont val="Times New Roman"/>
        <family val="1"/>
      </rPr>
      <t>Vérification de l'effort normal réduit:</t>
    </r>
  </si>
  <si>
    <r>
      <t>M</t>
    </r>
    <r>
      <rPr>
        <vertAlign val="subscript"/>
        <sz val="12"/>
        <rFont val="Calibri"/>
        <family val="2"/>
        <scheme val="minor"/>
      </rPr>
      <t>ser</t>
    </r>
  </si>
  <si>
    <r>
      <t>M</t>
    </r>
    <r>
      <rPr>
        <vertAlign val="subscript"/>
        <sz val="12"/>
        <rFont val="Calibri"/>
        <family val="2"/>
        <scheme val="minor"/>
      </rPr>
      <t>o</t>
    </r>
    <r>
      <rPr>
        <sz val="12"/>
        <rFont val="Calibri"/>
        <family val="2"/>
        <scheme val="minor"/>
      </rPr>
      <t xml:space="preserve"> =qL2/8</t>
    </r>
  </si>
  <si>
    <r>
      <t>h</t>
    </r>
    <r>
      <rPr>
        <vertAlign val="subscript"/>
        <sz val="12"/>
        <rFont val="Calibri"/>
        <family val="2"/>
        <scheme val="minor"/>
      </rPr>
      <t>t</t>
    </r>
  </si>
  <si>
    <r>
      <t>b</t>
    </r>
    <r>
      <rPr>
        <vertAlign val="subscript"/>
        <sz val="12"/>
        <rFont val="Calibri"/>
        <family val="2"/>
        <scheme val="minor"/>
      </rPr>
      <t>0</t>
    </r>
    <r>
      <rPr>
        <sz val="12"/>
        <rFont val="Calibri"/>
        <family val="2"/>
        <scheme val="minor"/>
      </rPr>
      <t xml:space="preserve"> </t>
    </r>
  </si>
  <si>
    <r>
      <t>A</t>
    </r>
    <r>
      <rPr>
        <vertAlign val="subscript"/>
        <sz val="12"/>
        <rFont val="Calibri"/>
        <family val="2"/>
        <scheme val="minor"/>
      </rPr>
      <t>S</t>
    </r>
  </si>
  <si>
    <r>
      <t>M</t>
    </r>
    <r>
      <rPr>
        <vertAlign val="subscript"/>
        <sz val="12"/>
        <rFont val="Calibri"/>
        <family val="2"/>
        <scheme val="minor"/>
      </rPr>
      <t>t</t>
    </r>
  </si>
  <si>
    <r>
      <t>M</t>
    </r>
    <r>
      <rPr>
        <vertAlign val="subscript"/>
        <sz val="12"/>
        <rFont val="Calibri"/>
        <family val="2"/>
        <scheme val="minor"/>
      </rPr>
      <t>0</t>
    </r>
  </si>
  <si>
    <r>
      <t>h</t>
    </r>
    <r>
      <rPr>
        <vertAlign val="subscript"/>
        <sz val="12"/>
        <rFont val="Calibri"/>
        <family val="2"/>
        <scheme val="minor"/>
      </rPr>
      <t>t</t>
    </r>
    <r>
      <rPr>
        <sz val="12"/>
        <rFont val="Calibri"/>
        <family val="2"/>
        <scheme val="minor"/>
      </rPr>
      <t>/L</t>
    </r>
  </si>
  <si>
    <r>
      <t>M</t>
    </r>
    <r>
      <rPr>
        <vertAlign val="subscript"/>
        <sz val="12"/>
        <rFont val="Calibri"/>
        <family val="2"/>
        <scheme val="minor"/>
      </rPr>
      <t>t</t>
    </r>
    <r>
      <rPr>
        <sz val="12"/>
        <rFont val="Calibri"/>
        <family val="2"/>
        <scheme val="minor"/>
      </rPr>
      <t>/10xM</t>
    </r>
    <r>
      <rPr>
        <vertAlign val="subscript"/>
        <sz val="12"/>
        <rFont val="Calibri"/>
        <family val="2"/>
        <scheme val="minor"/>
      </rPr>
      <t>0</t>
    </r>
  </si>
  <si>
    <r>
      <t>A</t>
    </r>
    <r>
      <rPr>
        <vertAlign val="subscript"/>
        <sz val="12"/>
        <rFont val="Calibri"/>
        <family val="2"/>
        <scheme val="minor"/>
      </rPr>
      <t>s</t>
    </r>
    <r>
      <rPr>
        <sz val="12"/>
        <rFont val="Calibri"/>
        <family val="2"/>
        <scheme val="minor"/>
      </rPr>
      <t>/b</t>
    </r>
    <r>
      <rPr>
        <vertAlign val="subscript"/>
        <sz val="12"/>
        <rFont val="Calibri"/>
        <family val="2"/>
        <scheme val="minor"/>
      </rPr>
      <t>0</t>
    </r>
    <r>
      <rPr>
        <sz val="12"/>
        <rFont val="Calibri"/>
        <family val="2"/>
        <scheme val="minor"/>
      </rPr>
      <t>xd</t>
    </r>
  </si>
  <si>
    <t>translation selon x pure</t>
  </si>
  <si>
    <t>translation selon y pure</t>
  </si>
  <si>
    <r>
      <t xml:space="preserve">   </t>
    </r>
    <r>
      <rPr>
        <i/>
        <sz val="12"/>
        <rFont val="Calibri"/>
        <family val="2"/>
        <scheme val="minor"/>
      </rPr>
      <t>Il faut que</t>
    </r>
    <r>
      <rPr>
        <sz val="12"/>
        <rFont val="Calibri"/>
        <family val="2"/>
        <scheme val="minor"/>
      </rPr>
      <t xml:space="preserve">: </t>
    </r>
  </si>
  <si>
    <r>
      <t xml:space="preserve">  6.1.7_ </t>
    </r>
    <r>
      <rPr>
        <b/>
        <sz val="12"/>
        <rFont val="Calibri"/>
        <family val="2"/>
        <scheme val="minor"/>
      </rPr>
      <t>Vérification des déplacements:</t>
    </r>
  </si>
  <si>
    <r>
      <t xml:space="preserve">  6.1.8_ </t>
    </r>
    <r>
      <rPr>
        <b/>
        <sz val="12"/>
        <rFont val="Calibri"/>
        <family val="2"/>
        <scheme val="minor"/>
      </rPr>
      <t>Vérification de l'effet P-Delta:</t>
    </r>
  </si>
  <si>
    <r>
      <t xml:space="preserve"> 6.1.10_ </t>
    </r>
    <r>
      <rPr>
        <b/>
        <sz val="12"/>
        <rFont val="Calibri"/>
        <family val="2"/>
        <scheme val="minor"/>
      </rPr>
      <t>Vérification du critère de résistance des poteaux (à l'E.L.U)</t>
    </r>
    <r>
      <rPr>
        <sz val="12"/>
        <rFont val="Calibri"/>
        <family val="2"/>
        <scheme val="minor"/>
      </rPr>
      <t>:</t>
    </r>
  </si>
  <si>
    <r>
      <t xml:space="preserve">  6.1.11_ </t>
    </r>
    <r>
      <rPr>
        <b/>
        <sz val="12"/>
        <rFont val="Calibri"/>
        <family val="2"/>
        <scheme val="minor"/>
      </rPr>
      <t>Vérification du critère de stabilité de forme Flambement (à l'E.L.U)</t>
    </r>
    <r>
      <rPr>
        <sz val="12"/>
        <rFont val="Calibri"/>
        <family val="2"/>
        <scheme val="minor"/>
      </rPr>
      <t>:</t>
    </r>
  </si>
  <si>
    <r>
      <t xml:space="preserve">  7.3) </t>
    </r>
    <r>
      <rPr>
        <b/>
        <sz val="12"/>
        <rFont val="Calibri"/>
        <family val="2"/>
        <scheme val="minor"/>
      </rPr>
      <t>Etude des éléments structuraux</t>
    </r>
    <r>
      <rPr>
        <sz val="12"/>
        <rFont val="Calibri"/>
        <family val="2"/>
        <scheme val="minor"/>
      </rPr>
      <t>:</t>
    </r>
  </si>
  <si>
    <r>
      <t xml:space="preserve">  7.3.1_ </t>
    </r>
    <r>
      <rPr>
        <b/>
        <sz val="12"/>
        <rFont val="Calibri"/>
        <family val="2"/>
        <scheme val="minor"/>
      </rPr>
      <t>Etude des poteaux</t>
    </r>
    <r>
      <rPr>
        <sz val="12"/>
        <rFont val="Calibri"/>
        <family val="2"/>
        <scheme val="minor"/>
      </rPr>
      <t>:</t>
    </r>
  </si>
  <si>
    <r>
      <t xml:space="preserve">    - </t>
    </r>
    <r>
      <rPr>
        <b/>
        <i/>
        <sz val="12"/>
        <rFont val="Calibri"/>
        <family val="2"/>
        <scheme val="minor"/>
      </rPr>
      <t xml:space="preserve">E.L.U </t>
    </r>
    <r>
      <rPr>
        <i/>
        <sz val="12"/>
        <rFont val="Calibri"/>
        <family val="2"/>
        <scheme val="minor"/>
      </rPr>
      <t>………………….. 1.35*G + 1.5*Q</t>
    </r>
  </si>
  <si>
    <r>
      <t xml:space="preserve">    - </t>
    </r>
    <r>
      <rPr>
        <b/>
        <i/>
        <sz val="12"/>
        <rFont val="Calibri"/>
        <family val="2"/>
        <scheme val="minor"/>
      </rPr>
      <t xml:space="preserve">E.L.S </t>
    </r>
    <r>
      <rPr>
        <i/>
        <sz val="12"/>
        <rFont val="Calibri"/>
        <family val="2"/>
        <scheme val="minor"/>
      </rPr>
      <t>………………….. G + Q</t>
    </r>
  </si>
  <si>
    <r>
      <t xml:space="preserve">    - ACC ……………….. </t>
    </r>
    <r>
      <rPr>
        <b/>
        <i/>
        <sz val="12"/>
        <rFont val="Calibri"/>
        <family val="2"/>
        <scheme val="minor"/>
      </rPr>
      <t>G + Q + E</t>
    </r>
  </si>
  <si>
    <r>
      <t xml:space="preserve">    - ACC ……………….. </t>
    </r>
    <r>
      <rPr>
        <b/>
        <i/>
        <sz val="12"/>
        <rFont val="Calibri"/>
        <family val="2"/>
        <scheme val="minor"/>
      </rPr>
      <t>0.8*G + E</t>
    </r>
  </si>
  <si>
    <r>
      <t xml:space="preserve">  6.2.1.1_ </t>
    </r>
    <r>
      <rPr>
        <b/>
        <sz val="12"/>
        <rFont val="Calibri"/>
        <family val="2"/>
        <scheme val="minor"/>
      </rPr>
      <t xml:space="preserve">Les armatures longitudinales </t>
    </r>
    <r>
      <rPr>
        <sz val="12"/>
        <rFont val="Calibri"/>
        <family val="2"/>
        <scheme val="minor"/>
      </rPr>
      <t>:</t>
    </r>
  </si>
  <si>
    <r>
      <t xml:space="preserve">  6.2.1.2_ </t>
    </r>
    <r>
      <rPr>
        <b/>
        <sz val="12"/>
        <rFont val="Calibri"/>
        <family val="2"/>
        <scheme val="minor"/>
      </rPr>
      <t xml:space="preserve">Les armatures transversales </t>
    </r>
    <r>
      <rPr>
        <sz val="12"/>
        <rFont val="Calibri"/>
        <family val="2"/>
        <scheme val="minor"/>
      </rPr>
      <t>:</t>
    </r>
  </si>
  <si>
    <r>
      <t xml:space="preserve">  6.2.1.3_ </t>
    </r>
    <r>
      <rPr>
        <b/>
        <sz val="12"/>
        <rFont val="Calibri"/>
        <family val="2"/>
        <scheme val="minor"/>
      </rPr>
      <t xml:space="preserve">Vérification des sollicitations tangentes (Contrainte de Cisaillement) </t>
    </r>
    <r>
      <rPr>
        <sz val="12"/>
        <rFont val="Calibri"/>
        <family val="2"/>
        <scheme val="minor"/>
      </rPr>
      <t>:</t>
    </r>
  </si>
  <si>
    <r>
      <t xml:space="preserve">  6.2.2_ </t>
    </r>
    <r>
      <rPr>
        <b/>
        <sz val="12"/>
        <rFont val="Calibri"/>
        <family val="2"/>
        <scheme val="minor"/>
      </rPr>
      <t>Etude des poutres</t>
    </r>
    <r>
      <rPr>
        <sz val="12"/>
        <rFont val="Calibri"/>
        <family val="2"/>
        <scheme val="minor"/>
      </rPr>
      <t>:</t>
    </r>
  </si>
  <si>
    <r>
      <t xml:space="preserve">  7.3.2.1_ </t>
    </r>
    <r>
      <rPr>
        <b/>
        <sz val="12"/>
        <rFont val="Calibri"/>
        <family val="2"/>
        <scheme val="minor"/>
      </rPr>
      <t xml:space="preserve">Les sollicitations de calculs </t>
    </r>
    <r>
      <rPr>
        <sz val="12"/>
        <rFont val="Calibri"/>
        <family val="2"/>
        <scheme val="minor"/>
      </rPr>
      <t>:</t>
    </r>
  </si>
  <si>
    <r>
      <t xml:space="preserve"> 6.3.2.2_ </t>
    </r>
    <r>
      <rPr>
        <b/>
        <sz val="12"/>
        <rFont val="Calibri"/>
        <family val="2"/>
        <scheme val="minor"/>
      </rPr>
      <t xml:space="preserve">Les armatures longitudinales </t>
    </r>
    <r>
      <rPr>
        <sz val="12"/>
        <rFont val="Calibri"/>
        <family val="2"/>
        <scheme val="minor"/>
      </rPr>
      <t>:</t>
    </r>
  </si>
  <si>
    <r>
      <t xml:space="preserve">6.3.2.3_ </t>
    </r>
    <r>
      <rPr>
        <b/>
        <sz val="12"/>
        <rFont val="Calibri"/>
        <family val="2"/>
        <scheme val="minor"/>
      </rPr>
      <t xml:space="preserve">Les armatures transversales </t>
    </r>
    <r>
      <rPr>
        <sz val="12"/>
        <rFont val="Calibri"/>
        <family val="2"/>
        <scheme val="minor"/>
      </rPr>
      <t>:</t>
    </r>
  </si>
  <si>
    <r>
      <t xml:space="preserve"> 6.3.2.3_ </t>
    </r>
    <r>
      <rPr>
        <b/>
        <sz val="12"/>
        <rFont val="Calibri"/>
        <family val="2"/>
        <scheme val="minor"/>
      </rPr>
      <t xml:space="preserve">Vérification des contraintes tangentielles </t>
    </r>
    <r>
      <rPr>
        <sz val="12"/>
        <rFont val="Calibri"/>
        <family val="2"/>
        <scheme val="minor"/>
      </rPr>
      <t>:</t>
    </r>
  </si>
  <si>
    <r>
      <t xml:space="preserve">  6.3.2.4_ </t>
    </r>
    <r>
      <rPr>
        <b/>
        <sz val="12"/>
        <rFont val="Calibri"/>
        <family val="2"/>
        <scheme val="minor"/>
      </rPr>
      <t>Vérification à L'ELS</t>
    </r>
  </si>
  <si>
    <r>
      <t>1/   h</t>
    </r>
    <r>
      <rPr>
        <b/>
        <vertAlign val="subscript"/>
        <sz val="12"/>
        <rFont val="Calibri"/>
        <family val="2"/>
        <scheme val="minor"/>
      </rPr>
      <t>t</t>
    </r>
    <r>
      <rPr>
        <b/>
        <sz val="12"/>
        <rFont val="Calibri"/>
        <family val="2"/>
        <scheme val="minor"/>
      </rPr>
      <t>/L&gt; 1/16</t>
    </r>
  </si>
  <si>
    <r>
      <t>2/   h</t>
    </r>
    <r>
      <rPr>
        <b/>
        <vertAlign val="subscript"/>
        <sz val="12"/>
        <rFont val="Calibri"/>
        <family val="2"/>
        <scheme val="minor"/>
      </rPr>
      <t>t</t>
    </r>
    <r>
      <rPr>
        <b/>
        <sz val="12"/>
        <rFont val="Calibri"/>
        <family val="2"/>
        <scheme val="minor"/>
      </rPr>
      <t>/L&gt; M</t>
    </r>
    <r>
      <rPr>
        <b/>
        <vertAlign val="subscript"/>
        <sz val="12"/>
        <rFont val="Calibri"/>
        <family val="2"/>
        <scheme val="minor"/>
      </rPr>
      <t>t</t>
    </r>
    <r>
      <rPr>
        <b/>
        <sz val="12"/>
        <rFont val="Calibri"/>
        <family val="2"/>
        <scheme val="minor"/>
      </rPr>
      <t>/10xM</t>
    </r>
    <r>
      <rPr>
        <b/>
        <vertAlign val="subscript"/>
        <sz val="12"/>
        <rFont val="Calibri"/>
        <family val="2"/>
        <scheme val="minor"/>
      </rPr>
      <t>0</t>
    </r>
  </si>
  <si>
    <r>
      <t>3/  A</t>
    </r>
    <r>
      <rPr>
        <b/>
        <vertAlign val="subscript"/>
        <sz val="12"/>
        <rFont val="Calibri"/>
        <family val="2"/>
        <scheme val="minor"/>
      </rPr>
      <t>S</t>
    </r>
    <r>
      <rPr>
        <b/>
        <sz val="12"/>
        <rFont val="Calibri"/>
        <family val="2"/>
        <scheme val="minor"/>
      </rPr>
      <t>/b</t>
    </r>
    <r>
      <rPr>
        <b/>
        <vertAlign val="subscript"/>
        <sz val="12"/>
        <rFont val="Calibri"/>
        <family val="2"/>
        <scheme val="minor"/>
      </rPr>
      <t>0</t>
    </r>
    <r>
      <rPr>
        <b/>
        <sz val="12"/>
        <rFont val="Calibri"/>
        <family val="2"/>
        <scheme val="minor"/>
      </rPr>
      <t>xd ≤ 4.2/fe</t>
    </r>
  </si>
  <si>
    <r>
      <t xml:space="preserve">  7.3.5_ </t>
    </r>
    <r>
      <rPr>
        <b/>
        <sz val="12"/>
        <rFont val="Calibri"/>
        <family val="2"/>
        <scheme val="minor"/>
      </rPr>
      <t>Etude des voiles :</t>
    </r>
  </si>
  <si>
    <r>
      <t xml:space="preserve">  7.3.6_ </t>
    </r>
    <r>
      <rPr>
        <b/>
        <sz val="12"/>
        <rFont val="Calibri"/>
        <family val="2"/>
        <scheme val="minor"/>
      </rPr>
      <t>Etude des dalles, escaliers et mur de soutènement :</t>
    </r>
  </si>
  <si>
    <r>
      <t xml:space="preserve"> conditions(03)              1/4 </t>
    </r>
    <r>
      <rPr>
        <b/>
        <sz val="12"/>
        <color theme="1"/>
        <rFont val="Calibri"/>
        <family val="2"/>
      </rPr>
      <t>&lt;</t>
    </r>
    <r>
      <rPr>
        <b/>
        <sz val="12"/>
        <color theme="1"/>
        <rFont val="Calibri"/>
        <family val="2"/>
        <scheme val="minor"/>
      </rPr>
      <t xml:space="preserve"> h/b</t>
    </r>
    <r>
      <rPr>
        <b/>
        <sz val="12"/>
        <color theme="1"/>
        <rFont val="Calibri"/>
        <family val="2"/>
      </rPr>
      <t xml:space="preserve">&lt;  4 </t>
    </r>
  </si>
  <si>
    <t>14</t>
  </si>
  <si>
    <t>09</t>
  </si>
  <si>
    <t>10</t>
  </si>
  <si>
    <t>11</t>
  </si>
  <si>
    <t>12</t>
  </si>
  <si>
    <t>13</t>
  </si>
  <si>
    <t>N voile</t>
  </si>
  <si>
    <t>N poteaux</t>
  </si>
  <si>
    <t>Lx =</t>
  </si>
  <si>
    <t>Ly =</t>
  </si>
  <si>
    <t>à moyenne sismicité Zone (IIa)</t>
  </si>
  <si>
    <r>
      <t xml:space="preserve">  - Terrasse inaccessible (plancher Corps-creux "16+4"): G=</t>
    </r>
    <r>
      <rPr>
        <b/>
        <sz val="12"/>
        <rFont val="Calibri"/>
        <family val="2"/>
        <scheme val="minor"/>
      </rPr>
      <t xml:space="preserve">6.00 </t>
    </r>
    <r>
      <rPr>
        <sz val="12"/>
        <rFont val="Calibri"/>
        <family val="2"/>
        <scheme val="minor"/>
      </rPr>
      <t>Kn/m².</t>
    </r>
  </si>
  <si>
    <t>30x40</t>
  </si>
  <si>
    <t>STORY4</t>
  </si>
  <si>
    <t>pot 30x40</t>
  </si>
  <si>
    <t>POT30x40</t>
  </si>
  <si>
    <t>étude genie civil</t>
  </si>
  <si>
    <t>rdc</t>
  </si>
  <si>
    <t>8T14 = 12.32</t>
  </si>
  <si>
    <t>R+02+T</t>
  </si>
  <si>
    <t xml:space="preserve">   Le projet qui fait l'objet de la note de calcul est un logement individuel en R+02+T</t>
  </si>
  <si>
    <t xml:space="preserve">   Le projet est (R+02+T.A) projeté à constantine  wilaya de constantine  qui est une zone  </t>
  </si>
  <si>
    <r>
      <t xml:space="preserve">    - La hauteur totale …………………………….12.24 </t>
    </r>
    <r>
      <rPr>
        <b/>
        <i/>
        <sz val="12"/>
        <rFont val="Times New Roman"/>
        <family val="1"/>
      </rPr>
      <t>m</t>
    </r>
  </si>
  <si>
    <t xml:space="preserve">   Les planchers utilisés sont de type   corps creux (hourdis) avec une dalle de </t>
  </si>
  <si>
    <t>LX=</t>
  </si>
  <si>
    <t>LY=</t>
  </si>
  <si>
    <t>40x30</t>
  </si>
  <si>
    <t>NIV 04</t>
  </si>
  <si>
    <t>3 T14</t>
  </si>
  <si>
    <t>PPR1</t>
  </si>
  <si>
    <t xml:space="preserve">   04/04/2024</t>
  </si>
  <si>
    <t>12,00  m</t>
  </si>
  <si>
    <r>
      <t xml:space="preserve">    - La hauteur du RDC …………………. </t>
    </r>
    <r>
      <rPr>
        <b/>
        <i/>
        <sz val="12"/>
        <rFont val="Times New Roman"/>
        <family val="1"/>
      </rPr>
      <t>3,00m</t>
    </r>
  </si>
  <si>
    <r>
      <t xml:space="preserve">    - La hauteur d'étage …………………. </t>
    </r>
    <r>
      <rPr>
        <b/>
        <i/>
        <sz val="12"/>
        <rFont val="Times New Roman"/>
        <family val="1"/>
      </rPr>
      <t>3,00m</t>
    </r>
  </si>
  <si>
    <t>dans notre cas pas de contreventement  H=12 m</t>
  </si>
  <si>
    <t>≤ 14 m</t>
  </si>
  <si>
    <t>(30x30)</t>
  </si>
  <si>
    <r>
      <t xml:space="preserve">  5.2.1_ </t>
    </r>
    <r>
      <rPr>
        <b/>
        <sz val="12"/>
        <rFont val="Times New Roman"/>
        <family val="1"/>
      </rPr>
      <t>Les poutres principales</t>
    </r>
    <r>
      <rPr>
        <sz val="12"/>
        <rFont val="Times New Roman"/>
        <family val="1"/>
      </rPr>
      <t xml:space="preserve">: </t>
    </r>
  </si>
  <si>
    <t>s2</t>
  </si>
  <si>
    <t>Sens Y-Y</t>
  </si>
  <si>
    <t>Sens X-X</t>
  </si>
  <si>
    <t xml:space="preserve">P.Prin </t>
  </si>
  <si>
    <t xml:space="preserve">P.Prin  </t>
  </si>
  <si>
    <t>PPR</t>
  </si>
</sst>
</file>

<file path=xl/styles.xml><?xml version="1.0" encoding="utf-8"?>
<styleSheet xmlns="http://schemas.openxmlformats.org/spreadsheetml/2006/main">
  <numFmts count="5">
    <numFmt numFmtId="164" formatCode="0.0"/>
    <numFmt numFmtId="165" formatCode="0.000"/>
    <numFmt numFmtId="166" formatCode="#,##0.0000"/>
    <numFmt numFmtId="167" formatCode="#,##0.000"/>
    <numFmt numFmtId="168" formatCode="0.00000"/>
  </numFmts>
  <fonts count="146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b/>
      <i/>
      <sz val="9"/>
      <name val="Times New Roman"/>
      <family val="1"/>
    </font>
    <font>
      <b/>
      <i/>
      <u/>
      <sz val="9"/>
      <name val="Times New Roman"/>
      <family val="1"/>
    </font>
    <font>
      <i/>
      <sz val="11"/>
      <color theme="1"/>
      <name val="Calibri"/>
      <family val="2"/>
      <scheme val="minor"/>
    </font>
    <font>
      <i/>
      <u val="double"/>
      <sz val="11"/>
      <color theme="1"/>
      <name val="Calibri"/>
      <family val="2"/>
      <scheme val="minor"/>
    </font>
    <font>
      <b/>
      <i/>
      <u/>
      <sz val="12"/>
      <color rgb="FFC00000"/>
      <name val="Times New Roman"/>
      <family val="1"/>
    </font>
    <font>
      <sz val="11"/>
      <color rgb="FF006100"/>
      <name val="Calibri"/>
      <family val="2"/>
      <scheme val="minor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i/>
      <sz val="12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4"/>
      <name val="Times New Roman"/>
      <family val="1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i/>
      <sz val="14"/>
      <name val="Times New Roman"/>
      <family val="1"/>
    </font>
    <font>
      <b/>
      <sz val="14"/>
      <color theme="1"/>
      <name val="Calibri"/>
      <family val="2"/>
      <scheme val="minor"/>
    </font>
    <font>
      <b/>
      <sz val="14"/>
      <name val="Times New Roman"/>
      <family val="1"/>
    </font>
    <font>
      <sz val="14"/>
      <name val="Calibri"/>
      <family val="2"/>
      <scheme val="minor"/>
    </font>
    <font>
      <sz val="14"/>
      <name val="Arial"/>
      <family val="2"/>
    </font>
    <font>
      <b/>
      <i/>
      <sz val="12"/>
      <color theme="1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1"/>
      <color theme="1"/>
      <name val="Times New Roman"/>
      <family val="1"/>
    </font>
    <font>
      <b/>
      <sz val="12"/>
      <color rgb="FF006100"/>
      <name val="Calibri"/>
      <family val="2"/>
      <scheme val="minor"/>
    </font>
    <font>
      <sz val="12"/>
      <color rgb="FF00B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B0F0"/>
      <name val="Calibri"/>
      <family val="2"/>
      <scheme val="minor"/>
    </font>
    <font>
      <sz val="11"/>
      <name val="Times New Roman"/>
      <family val="1"/>
    </font>
    <font>
      <sz val="11"/>
      <color rgb="FF00B050"/>
      <name val="Times New Roman"/>
      <family val="1"/>
    </font>
    <font>
      <sz val="16"/>
      <color rgb="FF000000"/>
      <name val="UniversalMath1 BT"/>
      <family val="1"/>
      <charset val="2"/>
    </font>
    <font>
      <b/>
      <sz val="11"/>
      <color theme="1"/>
      <name val="Times New Roman"/>
      <family val="1"/>
    </font>
    <font>
      <b/>
      <sz val="11"/>
      <color rgb="FFFF0000"/>
      <name val="Times New Roman"/>
      <family val="1"/>
    </font>
    <font>
      <b/>
      <sz val="12"/>
      <color theme="1"/>
      <name val="Calibri"/>
      <family val="2"/>
    </font>
    <font>
      <sz val="11"/>
      <name val="Arial"/>
      <family val="2"/>
    </font>
    <font>
      <sz val="12"/>
      <color theme="1"/>
      <name val="Calibri"/>
      <family val="2"/>
    </font>
    <font>
      <b/>
      <sz val="11"/>
      <color rgb="FFFF0000"/>
      <name val="Arial"/>
      <family val="2"/>
    </font>
    <font>
      <b/>
      <sz val="14"/>
      <color rgb="FF00B050"/>
      <name val="Cambria"/>
      <family val="1"/>
    </font>
    <font>
      <b/>
      <sz val="11"/>
      <color rgb="FF00B050"/>
      <name val="Arial"/>
      <family val="2"/>
    </font>
    <font>
      <b/>
      <sz val="14"/>
      <color rgb="FF0070C0"/>
      <name val="Cambria"/>
      <family val="1"/>
    </font>
    <font>
      <b/>
      <sz val="11"/>
      <color rgb="FF0070C0"/>
      <name val="Arial"/>
      <family val="2"/>
    </font>
    <font>
      <sz val="11"/>
      <color theme="1"/>
      <name val="Calibri"/>
      <family val="2"/>
    </font>
    <font>
      <b/>
      <sz val="12"/>
      <color rgb="FF1F497D"/>
      <name val="Calibri"/>
      <family val="2"/>
    </font>
    <font>
      <sz val="14"/>
      <color theme="1"/>
      <name val="Cambria"/>
      <family val="1"/>
    </font>
    <font>
      <i/>
      <sz val="14"/>
      <color theme="1"/>
      <name val="Cambria"/>
      <family val="1"/>
    </font>
    <font>
      <b/>
      <u/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4"/>
      <name val="Arial"/>
      <family val="2"/>
    </font>
    <font>
      <sz val="11"/>
      <color rgb="FFFF0000"/>
      <name val="Arial"/>
      <family val="2"/>
    </font>
    <font>
      <b/>
      <u/>
      <sz val="14"/>
      <color rgb="FFFF0000"/>
      <name val="Times New Roman"/>
      <family val="1"/>
    </font>
    <font>
      <b/>
      <u/>
      <sz val="14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i/>
      <sz val="14"/>
      <color rgb="FFFF0000"/>
      <name val="Calibri"/>
      <family val="2"/>
    </font>
    <font>
      <sz val="14"/>
      <color rgb="FF000000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2"/>
      <color rgb="FF000000"/>
      <name val="Calibri"/>
      <family val="2"/>
    </font>
    <font>
      <sz val="12"/>
      <color rgb="FFFF0000"/>
      <name val="Times New Roman"/>
      <family val="1"/>
    </font>
    <font>
      <b/>
      <sz val="12"/>
      <name val="Calibri"/>
      <family val="2"/>
    </font>
    <font>
      <sz val="12"/>
      <color theme="1"/>
      <name val="Arial"/>
      <family val="2"/>
    </font>
    <font>
      <b/>
      <sz val="11"/>
      <name val="Calibri"/>
      <family val="2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8"/>
      <name val="Calibri"/>
      <family val="2"/>
      <scheme val="minor"/>
    </font>
    <font>
      <b/>
      <i/>
      <sz val="14"/>
      <name val="Bodoni MT Black"/>
      <family val="1"/>
    </font>
    <font>
      <b/>
      <i/>
      <sz val="11"/>
      <name val="Arial"/>
      <family val="2"/>
    </font>
    <font>
      <b/>
      <i/>
      <u/>
      <sz val="12"/>
      <color rgb="FF0070C0"/>
      <name val="Arial"/>
      <family val="2"/>
    </font>
    <font>
      <b/>
      <sz val="10"/>
      <color indexed="61"/>
      <name val="Arial"/>
      <family val="2"/>
    </font>
    <font>
      <b/>
      <sz val="10"/>
      <color rgb="FF0070C0"/>
      <name val="Arial"/>
      <family val="2"/>
    </font>
    <font>
      <i/>
      <sz val="10"/>
      <name val="Arial"/>
      <family val="2"/>
    </font>
    <font>
      <b/>
      <sz val="11"/>
      <color indexed="61"/>
      <name val="Arial"/>
      <family val="2"/>
    </font>
    <font>
      <b/>
      <sz val="11"/>
      <color indexed="61"/>
      <name val="Times New Roman"/>
      <family val="1"/>
    </font>
    <font>
      <b/>
      <sz val="10"/>
      <name val="Arial"/>
      <family val="2"/>
    </font>
    <font>
      <b/>
      <i/>
      <u/>
      <sz val="11"/>
      <color indexed="60"/>
      <name val="Arial"/>
      <family val="2"/>
    </font>
    <font>
      <b/>
      <u/>
      <sz val="10"/>
      <name val="Arial"/>
      <family val="2"/>
    </font>
    <font>
      <b/>
      <sz val="10"/>
      <color indexed="61"/>
      <name val="Times New Roman"/>
      <family val="1"/>
    </font>
    <font>
      <b/>
      <sz val="8"/>
      <color indexed="61"/>
      <name val="Arial"/>
      <family val="2"/>
    </font>
    <font>
      <b/>
      <i/>
      <sz val="10"/>
      <color rgb="FFFF0000"/>
      <name val="Arial"/>
      <family val="2"/>
    </font>
    <font>
      <sz val="10"/>
      <name val="Time new roman"/>
      <charset val="178"/>
    </font>
    <font>
      <b/>
      <sz val="10"/>
      <name val="Time new roman"/>
      <charset val="178"/>
    </font>
    <font>
      <b/>
      <sz val="10"/>
      <color rgb="FFFF0000"/>
      <name val="Time new roman"/>
    </font>
    <font>
      <b/>
      <i/>
      <sz val="10"/>
      <color rgb="FF002060"/>
      <name val="Arial"/>
      <family val="2"/>
    </font>
    <font>
      <b/>
      <i/>
      <sz val="11"/>
      <color indexed="60"/>
      <name val="Arial"/>
      <family val="2"/>
    </font>
    <font>
      <b/>
      <sz val="10"/>
      <color indexed="10"/>
      <name val="Arial"/>
      <family val="2"/>
    </font>
    <font>
      <sz val="10"/>
      <color indexed="12"/>
      <name val="Time new roman"/>
      <charset val="178"/>
    </font>
    <font>
      <b/>
      <i/>
      <sz val="10"/>
      <color indexed="10"/>
      <name val="Arial"/>
      <family val="2"/>
    </font>
    <font>
      <b/>
      <i/>
      <sz val="10"/>
      <color indexed="60"/>
      <name val="Arial"/>
      <family val="2"/>
    </font>
    <font>
      <b/>
      <i/>
      <u/>
      <sz val="11"/>
      <color theme="9" tint="-0.499984740745262"/>
      <name val="Arial"/>
      <family val="2"/>
    </font>
    <font>
      <b/>
      <i/>
      <u/>
      <sz val="10"/>
      <color rgb="FF0070C0"/>
      <name val="Arial"/>
      <family val="2"/>
    </font>
    <font>
      <b/>
      <u/>
      <sz val="10"/>
      <color rgb="FF0070C0"/>
      <name val="Arial"/>
      <family val="2"/>
    </font>
    <font>
      <b/>
      <i/>
      <u/>
      <sz val="10"/>
      <color theme="6" tint="-0.499984740745262"/>
      <name val="Arial"/>
      <family val="2"/>
    </font>
    <font>
      <b/>
      <i/>
      <sz val="10"/>
      <color indexed="12"/>
      <name val="Arial"/>
      <family val="2"/>
    </font>
    <font>
      <sz val="12"/>
      <name val="Arial"/>
      <family val="2"/>
    </font>
    <font>
      <b/>
      <sz val="10"/>
      <name val="Symbol"/>
      <family val="1"/>
      <charset val="2"/>
    </font>
    <font>
      <b/>
      <sz val="10"/>
      <color indexed="10"/>
      <name val="Time new roman"/>
      <charset val="178"/>
    </font>
    <font>
      <b/>
      <sz val="11"/>
      <name val="Time new roman"/>
      <charset val="178"/>
    </font>
    <font>
      <b/>
      <sz val="11"/>
      <color rgb="FFFF0000"/>
      <name val="Time new roman"/>
    </font>
    <font>
      <b/>
      <sz val="12"/>
      <name val="Time new roman"/>
      <charset val="178"/>
    </font>
    <font>
      <sz val="12"/>
      <color indexed="12"/>
      <name val="Time new roman"/>
      <charset val="178"/>
    </font>
    <font>
      <b/>
      <sz val="12"/>
      <color indexed="10"/>
      <name val="Time new roman"/>
      <charset val="178"/>
    </font>
    <font>
      <i/>
      <sz val="16"/>
      <name val="Bodoni MT Black"/>
      <family val="1"/>
    </font>
    <font>
      <b/>
      <i/>
      <sz val="10"/>
      <name val="Arial"/>
      <family val="2"/>
    </font>
    <font>
      <b/>
      <sz val="11"/>
      <color rgb="FFC00000"/>
      <name val="Arial"/>
      <family val="2"/>
    </font>
    <font>
      <b/>
      <sz val="11"/>
      <color rgb="FFC00000"/>
      <name val="Calibri"/>
      <family val="2"/>
    </font>
    <font>
      <b/>
      <i/>
      <u/>
      <sz val="10"/>
      <color rgb="FF00B050"/>
      <name val="Arial"/>
      <family val="2"/>
    </font>
    <font>
      <b/>
      <sz val="12"/>
      <name val="Calibri"/>
      <family val="2"/>
      <scheme val="minor"/>
    </font>
    <font>
      <b/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Symbol"/>
      <family val="1"/>
      <charset val="2"/>
    </font>
    <font>
      <u/>
      <sz val="12"/>
      <color theme="1"/>
      <name val="Times New Roman"/>
      <family val="1"/>
    </font>
    <font>
      <sz val="12"/>
      <color theme="1"/>
      <name val="Footlight MT Light"/>
      <family val="1"/>
    </font>
    <font>
      <i/>
      <sz val="12"/>
      <name val="Times New Roman"/>
      <family val="1"/>
    </font>
    <font>
      <i/>
      <u/>
      <sz val="12"/>
      <name val="Times New Roman"/>
      <family val="1"/>
    </font>
    <font>
      <sz val="12"/>
      <color rgb="FF9C0006"/>
      <name val="Calibri"/>
      <family val="2"/>
      <scheme val="minor"/>
    </font>
    <font>
      <b/>
      <u/>
      <sz val="12"/>
      <name val="Times New Roman"/>
      <family val="1"/>
    </font>
    <font>
      <i/>
      <sz val="12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00B0F0"/>
      <name val="Calibri"/>
      <family val="2"/>
      <scheme val="minor"/>
    </font>
    <font>
      <i/>
      <sz val="12"/>
      <color theme="1"/>
      <name val="Californian FB"/>
      <family val="1"/>
    </font>
    <font>
      <b/>
      <u/>
      <sz val="12"/>
      <color theme="1"/>
      <name val="Calibri"/>
      <family val="2"/>
      <scheme val="minor"/>
    </font>
    <font>
      <sz val="12"/>
      <color rgb="FF000000"/>
      <name val="Times New Roman"/>
      <family val="1"/>
    </font>
    <font>
      <sz val="12"/>
      <color rgb="FF0070C0"/>
      <name val="Times New Roman"/>
      <family val="1"/>
    </font>
    <font>
      <b/>
      <sz val="12"/>
      <color rgb="FFFF0000"/>
      <name val="Times New Roman"/>
      <family val="1"/>
    </font>
    <font>
      <sz val="12"/>
      <color rgb="FF92D050"/>
      <name val="Calibri"/>
      <family val="2"/>
      <scheme val="minor"/>
    </font>
    <font>
      <b/>
      <i/>
      <sz val="11"/>
      <name val="Times New Roman"/>
      <family val="1"/>
    </font>
    <font>
      <vertAlign val="subscript"/>
      <sz val="12"/>
      <name val="Calibri"/>
      <family val="2"/>
      <scheme val="minor"/>
    </font>
    <font>
      <b/>
      <vertAlign val="subscript"/>
      <sz val="12"/>
      <name val="Calibri"/>
      <family val="2"/>
      <scheme val="minor"/>
    </font>
    <font>
      <b/>
      <i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6"/>
      <color rgb="FF0070C0"/>
      <name val="Cambria"/>
      <family val="1"/>
    </font>
    <font>
      <b/>
      <sz val="14"/>
      <color theme="1"/>
      <name val="Calibri"/>
      <family val="2"/>
    </font>
    <font>
      <b/>
      <sz val="16"/>
      <color theme="1"/>
      <name val="Arial"/>
      <family val="2"/>
    </font>
    <font>
      <b/>
      <sz val="16"/>
      <name val="Calibri"/>
      <family val="2"/>
      <scheme val="minor"/>
    </font>
    <font>
      <b/>
      <sz val="12"/>
      <name val="Arial"/>
      <family val="2"/>
    </font>
  </fonts>
  <fills count="12">
    <fill>
      <patternFill patternType="none"/>
    </fill>
    <fill>
      <patternFill patternType="gray125"/>
    </fill>
    <fill>
      <patternFill patternType="darkHorizontal">
        <fgColor theme="1" tint="0.34998626667073579"/>
        <bgColor theme="6" tint="0.79998168889431442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rgb="FF00B050"/>
      </patternFill>
    </fill>
    <fill>
      <patternFill patternType="solid">
        <fgColor rgb="FF00B0F0"/>
        <bgColor rgb="FF00B0F0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rgb="FF00B050"/>
      </left>
      <right/>
      <top style="double">
        <color rgb="FF00B050"/>
      </top>
      <bottom style="double">
        <color rgb="FF00B050"/>
      </bottom>
      <diagonal/>
    </border>
    <border>
      <left/>
      <right/>
      <top style="double">
        <color rgb="FF00B050"/>
      </top>
      <bottom style="double">
        <color rgb="FF00B050"/>
      </bottom>
      <diagonal/>
    </border>
    <border>
      <left/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 style="double">
        <color rgb="FF00B050"/>
      </right>
      <top/>
      <bottom/>
      <diagonal/>
    </border>
    <border>
      <left style="double">
        <color rgb="FF00B050"/>
      </left>
      <right/>
      <top/>
      <bottom/>
      <diagonal/>
    </border>
    <border>
      <left style="double">
        <color rgb="FF00B050"/>
      </left>
      <right/>
      <top/>
      <bottom style="double">
        <color rgb="FF00B050"/>
      </bottom>
      <diagonal/>
    </border>
    <border>
      <left/>
      <right/>
      <top/>
      <bottom style="double">
        <color rgb="FF00B050"/>
      </bottom>
      <diagonal/>
    </border>
    <border>
      <left/>
      <right style="double">
        <color rgb="FF00B050"/>
      </right>
      <top/>
      <bottom style="double">
        <color rgb="FF00B050"/>
      </bottom>
      <diagonal/>
    </border>
    <border>
      <left style="double">
        <color rgb="FF00B050"/>
      </left>
      <right/>
      <top style="medium">
        <color indexed="64"/>
      </top>
      <bottom style="medium">
        <color indexed="64"/>
      </bottom>
      <diagonal/>
    </border>
    <border>
      <left style="double">
        <color rgb="FF00B050"/>
      </left>
      <right style="medium">
        <color indexed="64"/>
      </right>
      <top/>
      <bottom style="medium">
        <color indexed="64"/>
      </bottom>
      <diagonal/>
    </border>
    <border>
      <left style="double">
        <color rgb="FF00B05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00B050"/>
      </left>
      <right style="double">
        <color rgb="FF00B050"/>
      </right>
      <top style="double">
        <color rgb="FF00B050"/>
      </top>
      <bottom style="double">
        <color rgb="FF00B050"/>
      </bottom>
      <diagonal/>
    </border>
    <border>
      <left/>
      <right/>
      <top style="double">
        <color rgb="FF00B050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" fillId="0" borderId="0"/>
    <xf numFmtId="0" fontId="8" fillId="3" borderId="0" applyNumberFormat="0" applyBorder="0" applyAlignment="0" applyProtection="0"/>
    <xf numFmtId="0" fontId="14" fillId="4" borderId="0" applyNumberFormat="0" applyBorder="0" applyAlignment="0" applyProtection="0"/>
  </cellStyleXfs>
  <cellXfs count="681">
    <xf numFmtId="0" fontId="0" fillId="0" borderId="0" xfId="0"/>
    <xf numFmtId="0" fontId="2" fillId="0" borderId="0" xfId="1" applyFont="1" applyBorder="1"/>
    <xf numFmtId="0" fontId="5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Fill="1"/>
    <xf numFmtId="0" fontId="2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7" fillId="0" borderId="12" xfId="0" applyFont="1" applyFill="1" applyBorder="1" applyAlignment="1">
      <alignment horizontal="center"/>
    </xf>
    <xf numFmtId="0" fontId="7" fillId="0" borderId="8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2" fontId="10" fillId="0" borderId="0" xfId="0" applyNumberFormat="1" applyFont="1"/>
    <xf numFmtId="0" fontId="11" fillId="0" borderId="0" xfId="0" applyFont="1"/>
    <xf numFmtId="2" fontId="11" fillId="0" borderId="0" xfId="0" applyNumberFormat="1" applyFont="1"/>
    <xf numFmtId="0" fontId="15" fillId="0" borderId="0" xfId="1" applyFont="1" applyBorder="1"/>
    <xf numFmtId="2" fontId="16" fillId="0" borderId="0" xfId="0" applyNumberFormat="1" applyFont="1"/>
    <xf numFmtId="0" fontId="17" fillId="0" borderId="0" xfId="0" applyFont="1"/>
    <xf numFmtId="2" fontId="17" fillId="0" borderId="0" xfId="0" applyNumberFormat="1" applyFont="1"/>
    <xf numFmtId="0" fontId="15" fillId="2" borderId="0" xfId="1" applyFont="1" applyFill="1" applyBorder="1"/>
    <xf numFmtId="2" fontId="20" fillId="2" borderId="0" xfId="1" applyNumberFormat="1" applyFont="1" applyFill="1" applyAlignment="1">
      <alignment horizontal="left"/>
    </xf>
    <xf numFmtId="2" fontId="15" fillId="2" borderId="0" xfId="1" applyNumberFormat="1" applyFont="1" applyFill="1" applyBorder="1"/>
    <xf numFmtId="2" fontId="15" fillId="2" borderId="0" xfId="1" applyNumberFormat="1" applyFont="1" applyFill="1"/>
    <xf numFmtId="0" fontId="16" fillId="0" borderId="0" xfId="0" applyFont="1"/>
    <xf numFmtId="2" fontId="18" fillId="0" borderId="0" xfId="1" applyNumberFormat="1" applyFont="1"/>
    <xf numFmtId="0" fontId="15" fillId="0" borderId="0" xfId="0" applyFont="1"/>
    <xf numFmtId="0" fontId="22" fillId="0" borderId="0" xfId="1" applyFont="1"/>
    <xf numFmtId="2" fontId="9" fillId="0" borderId="0" xfId="1" applyNumberFormat="1" applyFont="1" applyBorder="1" applyAlignment="1">
      <alignment horizontal="left" vertical="center"/>
    </xf>
    <xf numFmtId="2" fontId="26" fillId="3" borderId="0" xfId="2" applyNumberFormat="1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1" xfId="0" applyBorder="1"/>
    <xf numFmtId="2" fontId="0" fillId="0" borderId="0" xfId="0" applyNumberFormat="1" applyFont="1"/>
    <xf numFmtId="164" fontId="0" fillId="0" borderId="0" xfId="0" applyNumberFormat="1" applyFont="1" applyAlignment="1">
      <alignment horizontal="center" vertical="center"/>
    </xf>
    <xf numFmtId="0" fontId="17" fillId="0" borderId="0" xfId="0" applyFont="1" applyBorder="1"/>
    <xf numFmtId="0" fontId="0" fillId="0" borderId="0" xfId="0" applyFont="1" applyBorder="1"/>
    <xf numFmtId="0" fontId="25" fillId="0" borderId="0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2" fontId="28" fillId="0" borderId="0" xfId="0" applyNumberFormat="1" applyFont="1" applyAlignment="1">
      <alignment horizontal="center" vertical="center"/>
    </xf>
    <xf numFmtId="2" fontId="31" fillId="0" borderId="0" xfId="0" applyNumberFormat="1" applyFont="1" applyBorder="1" applyAlignment="1">
      <alignment horizontal="center" vertical="center"/>
    </xf>
    <xf numFmtId="2" fontId="0" fillId="0" borderId="0" xfId="0" applyNumberFormat="1" applyFont="1" applyBorder="1"/>
    <xf numFmtId="2" fontId="17" fillId="0" borderId="0" xfId="0" applyNumberFormat="1" applyFont="1" applyBorder="1"/>
    <xf numFmtId="0" fontId="31" fillId="0" borderId="0" xfId="0" applyFont="1" applyBorder="1" applyAlignment="1">
      <alignment horizontal="center" vertical="center"/>
    </xf>
    <xf numFmtId="164" fontId="28" fillId="0" borderId="0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 vertical="center"/>
    </xf>
    <xf numFmtId="0" fontId="13" fillId="0" borderId="0" xfId="0" applyFont="1"/>
    <xf numFmtId="0" fontId="0" fillId="0" borderId="0" xfId="0" applyFont="1" applyAlignment="1">
      <alignment horizontal="center"/>
    </xf>
    <xf numFmtId="0" fontId="28" fillId="0" borderId="0" xfId="0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0" fontId="21" fillId="0" borderId="0" xfId="0" applyFont="1"/>
    <xf numFmtId="0" fontId="0" fillId="0" borderId="0" xfId="0" applyBorder="1" applyAlignment="1">
      <alignment horizontal="center" vertical="center"/>
    </xf>
    <xf numFmtId="0" fontId="0" fillId="0" borderId="0" xfId="0"/>
    <xf numFmtId="0" fontId="17" fillId="0" borderId="0" xfId="0" applyFont="1"/>
    <xf numFmtId="0" fontId="17" fillId="0" borderId="0" xfId="0" applyFont="1"/>
    <xf numFmtId="0" fontId="0" fillId="0" borderId="0" xfId="0"/>
    <xf numFmtId="0" fontId="17" fillId="0" borderId="0" xfId="0" applyFont="1"/>
    <xf numFmtId="0" fontId="36" fillId="0" borderId="0" xfId="0" applyFont="1"/>
    <xf numFmtId="166" fontId="38" fillId="0" borderId="0" xfId="0" applyNumberFormat="1" applyFont="1" applyBorder="1" applyAlignment="1"/>
    <xf numFmtId="0" fontId="32" fillId="0" borderId="1" xfId="0" applyFont="1" applyBorder="1" applyAlignment="1">
      <alignment horizontal="center"/>
    </xf>
    <xf numFmtId="0" fontId="0" fillId="0" borderId="0" xfId="0" applyFont="1" applyAlignment="1"/>
    <xf numFmtId="0" fontId="39" fillId="0" borderId="27" xfId="0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/>
    </xf>
    <xf numFmtId="2" fontId="39" fillId="0" borderId="31" xfId="0" applyNumberFormat="1" applyFont="1" applyBorder="1" applyAlignment="1">
      <alignment horizontal="center" vertical="center"/>
    </xf>
    <xf numFmtId="0" fontId="42" fillId="0" borderId="0" xfId="0" applyFont="1" applyBorder="1" applyAlignment="1">
      <alignment horizontal="center"/>
    </xf>
    <xf numFmtId="0" fontId="47" fillId="0" borderId="0" xfId="0" applyFont="1"/>
    <xf numFmtId="0" fontId="48" fillId="0" borderId="35" xfId="0" applyFont="1" applyBorder="1" applyAlignment="1">
      <alignment horizontal="center" vertical="center"/>
    </xf>
    <xf numFmtId="49" fontId="49" fillId="0" borderId="35" xfId="0" applyNumberFormat="1" applyFont="1" applyBorder="1" applyAlignment="1">
      <alignment horizontal="center" vertical="center"/>
    </xf>
    <xf numFmtId="49" fontId="49" fillId="7" borderId="35" xfId="0" applyNumberFormat="1" applyFont="1" applyFill="1" applyBorder="1" applyAlignment="1">
      <alignment horizontal="center" vertical="center"/>
    </xf>
    <xf numFmtId="0" fontId="47" fillId="0" borderId="35" xfId="0" applyFont="1" applyBorder="1" applyAlignment="1">
      <alignment horizontal="center" vertical="center"/>
    </xf>
    <xf numFmtId="49" fontId="50" fillId="8" borderId="35" xfId="0" applyNumberFormat="1" applyFont="1" applyFill="1" applyBorder="1" applyAlignment="1">
      <alignment horizontal="center" vertical="center"/>
    </xf>
    <xf numFmtId="4" fontId="47" fillId="0" borderId="35" xfId="0" applyNumberFormat="1" applyFont="1" applyBorder="1" applyAlignment="1">
      <alignment horizontal="center" vertical="center"/>
    </xf>
    <xf numFmtId="0" fontId="47" fillId="0" borderId="0" xfId="0" applyFont="1" applyAlignment="1">
      <alignment horizontal="center" vertical="center"/>
    </xf>
    <xf numFmtId="0" fontId="51" fillId="0" borderId="0" xfId="0" applyFont="1" applyAlignment="1"/>
    <xf numFmtId="0" fontId="52" fillId="0" borderId="0" xfId="0" applyFont="1" applyAlignment="1"/>
    <xf numFmtId="0" fontId="53" fillId="0" borderId="1" xfId="0" applyFont="1" applyBorder="1" applyAlignment="1"/>
    <xf numFmtId="0" fontId="53" fillId="9" borderId="1" xfId="0" applyFont="1" applyFill="1" applyBorder="1" applyAlignment="1">
      <alignment horizontal="center"/>
    </xf>
    <xf numFmtId="0" fontId="54" fillId="10" borderId="1" xfId="0" applyFont="1" applyFill="1" applyBorder="1" applyAlignment="1">
      <alignment horizontal="center"/>
    </xf>
    <xf numFmtId="0" fontId="53" fillId="0" borderId="1" xfId="0" applyFont="1" applyBorder="1" applyAlignment="1">
      <alignment horizontal="center"/>
    </xf>
    <xf numFmtId="0" fontId="44" fillId="0" borderId="1" xfId="0" applyFont="1" applyBorder="1" applyAlignment="1">
      <alignment horizontal="center"/>
    </xf>
    <xf numFmtId="0" fontId="55" fillId="0" borderId="1" xfId="0" applyFont="1" applyBorder="1" applyAlignment="1">
      <alignment horizontal="center"/>
    </xf>
    <xf numFmtId="49" fontId="53" fillId="0" borderId="1" xfId="0" applyNumberFormat="1" applyFont="1" applyBorder="1" applyAlignment="1">
      <alignment horizontal="center"/>
    </xf>
    <xf numFmtId="10" fontId="53" fillId="0" borderId="1" xfId="0" applyNumberFormat="1" applyFont="1" applyBorder="1" applyAlignment="1">
      <alignment horizontal="center"/>
    </xf>
    <xf numFmtId="0" fontId="53" fillId="0" borderId="0" xfId="0" applyFont="1" applyAlignment="1"/>
    <xf numFmtId="0" fontId="42" fillId="0" borderId="7" xfId="0" applyFont="1" applyBorder="1" applyAlignment="1">
      <alignment horizontal="center"/>
    </xf>
    <xf numFmtId="0" fontId="56" fillId="0" borderId="25" xfId="0" applyFont="1" applyBorder="1" applyAlignment="1"/>
    <xf numFmtId="0" fontId="56" fillId="0" borderId="26" xfId="0" applyFont="1" applyBorder="1" applyAlignment="1"/>
    <xf numFmtId="9" fontId="42" fillId="0" borderId="7" xfId="0" applyNumberFormat="1" applyFont="1" applyBorder="1" applyAlignment="1">
      <alignment horizontal="center"/>
    </xf>
    <xf numFmtId="0" fontId="0" fillId="0" borderId="23" xfId="0" applyFont="1" applyBorder="1" applyAlignment="1"/>
    <xf numFmtId="0" fontId="0" fillId="0" borderId="0" xfId="0" applyFont="1" applyBorder="1" applyAlignment="1"/>
    <xf numFmtId="0" fontId="54" fillId="9" borderId="1" xfId="0" applyFont="1" applyFill="1" applyBorder="1" applyAlignment="1">
      <alignment horizontal="center"/>
    </xf>
    <xf numFmtId="0" fontId="46" fillId="0" borderId="1" xfId="0" applyFont="1" applyBorder="1" applyAlignment="1">
      <alignment horizontal="center"/>
    </xf>
    <xf numFmtId="0" fontId="47" fillId="0" borderId="0" xfId="0" applyFont="1" applyAlignment="1"/>
    <xf numFmtId="0" fontId="42" fillId="0" borderId="1" xfId="0" applyFont="1" applyBorder="1" applyAlignment="1">
      <alignment horizontal="center"/>
    </xf>
    <xf numFmtId="9" fontId="42" fillId="0" borderId="1" xfId="0" applyNumberFormat="1" applyFont="1" applyBorder="1" applyAlignment="1">
      <alignment horizontal="center"/>
    </xf>
    <xf numFmtId="2" fontId="42" fillId="0" borderId="1" xfId="0" applyNumberFormat="1" applyFont="1" applyBorder="1" applyAlignment="1"/>
    <xf numFmtId="0" fontId="42" fillId="0" borderId="1" xfId="0" applyFont="1" applyBorder="1" applyAlignment="1"/>
    <xf numFmtId="0" fontId="32" fillId="0" borderId="0" xfId="0" applyFont="1" applyAlignment="1">
      <alignment horizontal="center"/>
    </xf>
    <xf numFmtId="0" fontId="16" fillId="0" borderId="0" xfId="1" applyFont="1"/>
    <xf numFmtId="0" fontId="58" fillId="0" borderId="0" xfId="1" applyFont="1" applyAlignment="1">
      <alignment horizontal="left"/>
    </xf>
    <xf numFmtId="0" fontId="59" fillId="0" borderId="0" xfId="1" applyFont="1" applyAlignment="1">
      <alignment horizontal="left"/>
    </xf>
    <xf numFmtId="0" fontId="29" fillId="0" borderId="0" xfId="0" applyFont="1" applyAlignment="1"/>
    <xf numFmtId="0" fontId="29" fillId="0" borderId="0" xfId="1" applyFont="1"/>
    <xf numFmtId="0" fontId="38" fillId="0" borderId="20" xfId="1" applyFont="1" applyBorder="1" applyAlignment="1"/>
    <xf numFmtId="0" fontId="37" fillId="0" borderId="7" xfId="1" applyFont="1" applyBorder="1"/>
    <xf numFmtId="0" fontId="37" fillId="0" borderId="7" xfId="1" applyFont="1" applyBorder="1" applyAlignment="1">
      <alignment horizontal="center"/>
    </xf>
    <xf numFmtId="0" fontId="37" fillId="0" borderId="1" xfId="1" applyFont="1" applyBorder="1"/>
    <xf numFmtId="0" fontId="60" fillId="0" borderId="1" xfId="1" applyFont="1" applyBorder="1" applyAlignment="1">
      <alignment horizontal="center"/>
    </xf>
    <xf numFmtId="0" fontId="37" fillId="0" borderId="1" xfId="0" applyFont="1" applyBorder="1" applyAlignment="1"/>
    <xf numFmtId="0" fontId="34" fillId="0" borderId="0" xfId="0" applyFont="1" applyBorder="1" applyAlignment="1"/>
    <xf numFmtId="2" fontId="37" fillId="0" borderId="1" xfId="1" applyNumberFormat="1" applyFont="1" applyBorder="1"/>
    <xf numFmtId="0" fontId="37" fillId="0" borderId="35" xfId="0" applyFont="1" applyBorder="1" applyAlignment="1">
      <alignment horizontal="center" vertical="center"/>
    </xf>
    <xf numFmtId="4" fontId="37" fillId="0" borderId="35" xfId="0" applyNumberFormat="1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62" fillId="6" borderId="21" xfId="0" applyFont="1" applyFill="1" applyBorder="1" applyAlignment="1">
      <alignment horizontal="center" vertical="center"/>
    </xf>
    <xf numFmtId="0" fontId="62" fillId="6" borderId="23" xfId="0" applyFont="1" applyFill="1" applyBorder="1" applyAlignment="1">
      <alignment horizontal="center" vertical="center"/>
    </xf>
    <xf numFmtId="0" fontId="63" fillId="6" borderId="23" xfId="0" applyFont="1" applyFill="1" applyBorder="1" applyAlignment="1"/>
    <xf numFmtId="0" fontId="63" fillId="6" borderId="17" xfId="0" applyFont="1" applyFill="1" applyBorder="1" applyAlignment="1"/>
    <xf numFmtId="0" fontId="64" fillId="0" borderId="1" xfId="0" applyFont="1" applyBorder="1" applyAlignment="1">
      <alignment horizontal="center" vertical="center"/>
    </xf>
    <xf numFmtId="0" fontId="62" fillId="6" borderId="25" xfId="0" applyFont="1" applyFill="1" applyBorder="1" applyAlignment="1">
      <alignment horizontal="center" vertical="center"/>
    </xf>
    <xf numFmtId="0" fontId="62" fillId="6" borderId="0" xfId="0" applyFont="1" applyFill="1" applyBorder="1" applyAlignment="1">
      <alignment horizontal="center" vertical="center"/>
    </xf>
    <xf numFmtId="0" fontId="63" fillId="6" borderId="0" xfId="0" applyFont="1" applyFill="1" applyBorder="1" applyAlignment="1"/>
    <xf numFmtId="0" fontId="63" fillId="6" borderId="26" xfId="0" applyFont="1" applyFill="1" applyBorder="1" applyAlignment="1"/>
    <xf numFmtId="0" fontId="65" fillId="0" borderId="1" xfId="0" applyFont="1" applyBorder="1" applyAlignment="1">
      <alignment horizontal="center" vertical="center"/>
    </xf>
    <xf numFmtId="0" fontId="66" fillId="0" borderId="1" xfId="0" applyFont="1" applyBorder="1" applyAlignment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68" fillId="0" borderId="0" xfId="0" applyFont="1" applyAlignment="1">
      <alignment vertical="center"/>
    </xf>
    <xf numFmtId="0" fontId="62" fillId="6" borderId="18" xfId="0" applyFont="1" applyFill="1" applyBorder="1" applyAlignment="1">
      <alignment horizontal="center" vertical="center"/>
    </xf>
    <xf numFmtId="0" fontId="62" fillId="6" borderId="20" xfId="0" applyFont="1" applyFill="1" applyBorder="1" applyAlignment="1">
      <alignment horizontal="center" vertical="center"/>
    </xf>
    <xf numFmtId="0" fontId="63" fillId="6" borderId="20" xfId="0" applyFont="1" applyFill="1" applyBorder="1" applyAlignment="1"/>
    <xf numFmtId="0" fontId="63" fillId="6" borderId="12" xfId="0" applyFont="1" applyFill="1" applyBorder="1" applyAlignment="1"/>
    <xf numFmtId="0" fontId="11" fillId="0" borderId="0" xfId="0" applyFont="1" applyBorder="1" applyAlignment="1">
      <alignment horizontal="center"/>
    </xf>
    <xf numFmtId="4" fontId="70" fillId="0" borderId="1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71" fillId="0" borderId="0" xfId="0" applyFont="1" applyBorder="1" applyAlignment="1">
      <alignment horizontal="center"/>
    </xf>
    <xf numFmtId="0" fontId="11" fillId="0" borderId="1" xfId="0" applyFont="1" applyBorder="1"/>
    <xf numFmtId="0" fontId="19" fillId="0" borderId="0" xfId="0" applyFont="1" applyAlignment="1">
      <alignment horizontal="center"/>
    </xf>
    <xf numFmtId="0" fontId="35" fillId="0" borderId="0" xfId="0" applyFont="1" applyBorder="1" applyAlignment="1">
      <alignment horizontal="center" vertical="center"/>
    </xf>
    <xf numFmtId="0" fontId="74" fillId="11" borderId="39" xfId="0" applyFont="1" applyFill="1" applyBorder="1"/>
    <xf numFmtId="0" fontId="74" fillId="11" borderId="40" xfId="0" applyFont="1" applyFill="1" applyBorder="1"/>
    <xf numFmtId="0" fontId="0" fillId="11" borderId="40" xfId="0" applyFill="1" applyBorder="1"/>
    <xf numFmtId="0" fontId="0" fillId="11" borderId="41" xfId="0" applyFill="1" applyBorder="1"/>
    <xf numFmtId="0" fontId="0" fillId="11" borderId="0" xfId="0" applyFill="1"/>
    <xf numFmtId="0" fontId="75" fillId="11" borderId="0" xfId="0" applyFont="1" applyFill="1"/>
    <xf numFmtId="0" fontId="0" fillId="11" borderId="42" xfId="0" applyFill="1" applyBorder="1"/>
    <xf numFmtId="0" fontId="76" fillId="11" borderId="0" xfId="0" applyFont="1" applyFill="1" applyAlignment="1">
      <alignment horizontal="center"/>
    </xf>
    <xf numFmtId="0" fontId="77" fillId="11" borderId="0" xfId="0" applyFont="1" applyFill="1" applyAlignment="1">
      <alignment horizontal="center"/>
    </xf>
    <xf numFmtId="0" fontId="78" fillId="11" borderId="0" xfId="0" applyFont="1" applyFill="1" applyAlignment="1">
      <alignment horizontal="center"/>
    </xf>
    <xf numFmtId="0" fontId="79" fillId="11" borderId="0" xfId="0" applyFont="1" applyFill="1"/>
    <xf numFmtId="0" fontId="1" fillId="11" borderId="0" xfId="0" applyFont="1" applyFill="1"/>
    <xf numFmtId="0" fontId="80" fillId="11" borderId="0" xfId="0" applyFont="1" applyFill="1" applyAlignment="1">
      <alignment horizontal="center"/>
    </xf>
    <xf numFmtId="0" fontId="79" fillId="11" borderId="0" xfId="0" applyFont="1" applyFill="1" applyAlignment="1">
      <alignment horizontal="left"/>
    </xf>
    <xf numFmtId="0" fontId="81" fillId="11" borderId="0" xfId="0" applyFont="1" applyFill="1" applyAlignment="1">
      <alignment horizontal="center"/>
    </xf>
    <xf numFmtId="0" fontId="0" fillId="11" borderId="43" xfId="0" applyFill="1" applyBorder="1"/>
    <xf numFmtId="0" fontId="82" fillId="11" borderId="0" xfId="0" applyFont="1" applyFill="1" applyAlignment="1">
      <alignment horizontal="center"/>
    </xf>
    <xf numFmtId="0" fontId="0" fillId="11" borderId="44" xfId="0" applyFill="1" applyBorder="1"/>
    <xf numFmtId="0" fontId="0" fillId="11" borderId="45" xfId="0" applyFill="1" applyBorder="1"/>
    <xf numFmtId="0" fontId="0" fillId="11" borderId="46" xfId="0" applyFill="1" applyBorder="1"/>
    <xf numFmtId="0" fontId="83" fillId="11" borderId="0" xfId="0" applyFont="1" applyFill="1"/>
    <xf numFmtId="0" fontId="84" fillId="11" borderId="0" xfId="0" applyFont="1" applyFill="1"/>
    <xf numFmtId="0" fontId="77" fillId="11" borderId="47" xfId="0" applyFont="1" applyFill="1" applyBorder="1" applyAlignment="1">
      <alignment horizontal="left"/>
    </xf>
    <xf numFmtId="0" fontId="77" fillId="11" borderId="48" xfId="0" applyFont="1" applyFill="1" applyBorder="1" applyAlignment="1">
      <alignment horizontal="center"/>
    </xf>
    <xf numFmtId="0" fontId="80" fillId="11" borderId="49" xfId="0" applyFont="1" applyFill="1" applyBorder="1" applyAlignment="1">
      <alignment horizontal="center"/>
    </xf>
    <xf numFmtId="0" fontId="77" fillId="11" borderId="49" xfId="0" applyFont="1" applyFill="1" applyBorder="1" applyAlignment="1">
      <alignment horizontal="center"/>
    </xf>
    <xf numFmtId="0" fontId="82" fillId="11" borderId="0" xfId="0" applyFont="1" applyFill="1" applyAlignment="1">
      <alignment horizontal="left"/>
    </xf>
    <xf numFmtId="0" fontId="82" fillId="11" borderId="0" xfId="0" applyFont="1" applyFill="1" applyAlignment="1">
      <alignment horizontal="right"/>
    </xf>
    <xf numFmtId="0" fontId="88" fillId="11" borderId="0" xfId="0" applyFont="1" applyFill="1"/>
    <xf numFmtId="0" fontId="89" fillId="11" borderId="1" xfId="0" applyFont="1" applyFill="1" applyBorder="1" applyAlignment="1">
      <alignment horizontal="center"/>
    </xf>
    <xf numFmtId="0" fontId="90" fillId="11" borderId="1" xfId="0" applyFont="1" applyFill="1" applyBorder="1" applyAlignment="1">
      <alignment horizontal="center"/>
    </xf>
    <xf numFmtId="2" fontId="90" fillId="11" borderId="1" xfId="0" applyNumberFormat="1" applyFont="1" applyFill="1" applyBorder="1" applyAlignment="1">
      <alignment horizontal="center"/>
    </xf>
    <xf numFmtId="0" fontId="91" fillId="11" borderId="0" xfId="0" applyFont="1" applyFill="1" applyAlignment="1">
      <alignment horizontal="left"/>
    </xf>
    <xf numFmtId="0" fontId="92" fillId="11" borderId="0" xfId="0" applyFont="1" applyFill="1"/>
    <xf numFmtId="0" fontId="0" fillId="11" borderId="50" xfId="0" applyFill="1" applyBorder="1"/>
    <xf numFmtId="0" fontId="82" fillId="11" borderId="51" xfId="0" applyFont="1" applyFill="1" applyBorder="1" applyAlignment="1">
      <alignment horizontal="center"/>
    </xf>
    <xf numFmtId="0" fontId="93" fillId="11" borderId="51" xfId="0" applyFont="1" applyFill="1" applyBorder="1" applyAlignment="1">
      <alignment horizontal="center"/>
    </xf>
    <xf numFmtId="0" fontId="93" fillId="11" borderId="0" xfId="0" applyFont="1" applyFill="1" applyAlignment="1">
      <alignment horizontal="center"/>
    </xf>
    <xf numFmtId="0" fontId="0" fillId="11" borderId="52" xfId="0" applyFill="1" applyBorder="1"/>
    <xf numFmtId="0" fontId="82" fillId="11" borderId="50" xfId="0" applyFont="1" applyFill="1" applyBorder="1" applyAlignment="1">
      <alignment horizontal="center"/>
    </xf>
    <xf numFmtId="0" fontId="93" fillId="11" borderId="50" xfId="0" applyFont="1" applyFill="1" applyBorder="1" applyAlignment="1">
      <alignment horizontal="center"/>
    </xf>
    <xf numFmtId="0" fontId="94" fillId="11" borderId="1" xfId="0" applyFont="1" applyFill="1" applyBorder="1" applyAlignment="1">
      <alignment horizontal="center"/>
    </xf>
    <xf numFmtId="0" fontId="95" fillId="11" borderId="0" xfId="0" applyFont="1" applyFill="1"/>
    <xf numFmtId="0" fontId="96" fillId="11" borderId="0" xfId="0" applyFont="1" applyFill="1"/>
    <xf numFmtId="0" fontId="97" fillId="11" borderId="0" xfId="0" applyFont="1" applyFill="1" applyAlignment="1">
      <alignment horizontal="center"/>
    </xf>
    <xf numFmtId="0" fontId="98" fillId="11" borderId="0" xfId="0" applyFont="1" applyFill="1"/>
    <xf numFmtId="0" fontId="77" fillId="11" borderId="53" xfId="0" applyFont="1" applyFill="1" applyBorder="1" applyAlignment="1">
      <alignment horizontal="left"/>
    </xf>
    <xf numFmtId="0" fontId="77" fillId="11" borderId="51" xfId="0" applyFont="1" applyFill="1" applyBorder="1" applyAlignment="1">
      <alignment horizontal="center"/>
    </xf>
    <xf numFmtId="0" fontId="98" fillId="11" borderId="0" xfId="0" applyFont="1" applyFill="1" applyAlignment="1">
      <alignment horizontal="left"/>
    </xf>
    <xf numFmtId="0" fontId="77" fillId="11" borderId="54" xfId="0" applyFont="1" applyFill="1" applyBorder="1" applyAlignment="1">
      <alignment horizontal="left"/>
    </xf>
    <xf numFmtId="0" fontId="80" fillId="11" borderId="50" xfId="0" applyFont="1" applyFill="1" applyBorder="1" applyAlignment="1">
      <alignment horizontal="center"/>
    </xf>
    <xf numFmtId="0" fontId="77" fillId="11" borderId="50" xfId="0" applyFont="1" applyFill="1" applyBorder="1" applyAlignment="1">
      <alignment horizontal="center"/>
    </xf>
    <xf numFmtId="0" fontId="99" fillId="11" borderId="0" xfId="0" applyFont="1" applyFill="1"/>
    <xf numFmtId="0" fontId="82" fillId="11" borderId="0" xfId="0" applyFont="1" applyFill="1"/>
    <xf numFmtId="0" fontId="100" fillId="11" borderId="0" xfId="0" applyFont="1" applyFill="1" applyAlignment="1">
      <alignment horizontal="center"/>
    </xf>
    <xf numFmtId="0" fontId="101" fillId="11" borderId="0" xfId="0" applyFont="1" applyFill="1"/>
    <xf numFmtId="0" fontId="102" fillId="11" borderId="0" xfId="0" applyFont="1" applyFill="1"/>
    <xf numFmtId="0" fontId="103" fillId="11" borderId="1" xfId="0" applyFont="1" applyFill="1" applyBorder="1" applyAlignment="1">
      <alignment horizontal="center"/>
    </xf>
    <xf numFmtId="4" fontId="104" fillId="11" borderId="1" xfId="0" applyNumberFormat="1" applyFont="1" applyFill="1" applyBorder="1" applyAlignment="1">
      <alignment horizontal="center"/>
    </xf>
    <xf numFmtId="0" fontId="87" fillId="11" borderId="0" xfId="0" applyFont="1" applyFill="1"/>
    <xf numFmtId="0" fontId="77" fillId="11" borderId="50" xfId="0" applyFont="1" applyFill="1" applyBorder="1" applyAlignment="1">
      <alignment horizontal="left"/>
    </xf>
    <xf numFmtId="0" fontId="77" fillId="11" borderId="55" xfId="0" applyFont="1" applyFill="1" applyBorder="1" applyAlignment="1">
      <alignment horizontal="center"/>
    </xf>
    <xf numFmtId="0" fontId="104" fillId="11" borderId="1" xfId="0" applyFont="1" applyFill="1" applyBorder="1" applyAlignment="1">
      <alignment horizontal="center"/>
    </xf>
    <xf numFmtId="0" fontId="0" fillId="11" borderId="56" xfId="0" applyFill="1" applyBorder="1"/>
    <xf numFmtId="0" fontId="82" fillId="11" borderId="55" xfId="0" applyFont="1" applyFill="1" applyBorder="1" applyAlignment="1">
      <alignment horizontal="center"/>
    </xf>
    <xf numFmtId="0" fontId="93" fillId="11" borderId="55" xfId="0" applyFont="1" applyFill="1" applyBorder="1" applyAlignment="1">
      <alignment horizontal="center"/>
    </xf>
    <xf numFmtId="0" fontId="105" fillId="11" borderId="1" xfId="0" applyFont="1" applyFill="1" applyBorder="1" applyAlignment="1">
      <alignment horizontal="center"/>
    </xf>
    <xf numFmtId="2" fontId="1" fillId="11" borderId="0" xfId="0" applyNumberFormat="1" applyFont="1" applyFill="1"/>
    <xf numFmtId="0" fontId="107" fillId="11" borderId="0" xfId="0" applyFont="1" applyFill="1" applyAlignment="1">
      <alignment horizontal="center"/>
    </xf>
    <xf numFmtId="2" fontId="108" fillId="11" borderId="0" xfId="0" applyNumberFormat="1" applyFont="1" applyFill="1" applyAlignment="1">
      <alignment horizontal="center"/>
    </xf>
    <xf numFmtId="0" fontId="0" fillId="6" borderId="0" xfId="0" applyFill="1"/>
    <xf numFmtId="0" fontId="82" fillId="6" borderId="57" xfId="0" applyFont="1" applyFill="1" applyBorder="1" applyAlignment="1">
      <alignment horizontal="center"/>
    </xf>
    <xf numFmtId="0" fontId="1" fillId="6" borderId="57" xfId="0" applyFont="1" applyFill="1" applyBorder="1"/>
    <xf numFmtId="0" fontId="78" fillId="11" borderId="57" xfId="0" applyFont="1" applyFill="1" applyBorder="1" applyAlignment="1">
      <alignment horizontal="center"/>
    </xf>
    <xf numFmtId="0" fontId="0" fillId="6" borderId="58" xfId="0" applyFill="1" applyBorder="1"/>
    <xf numFmtId="0" fontId="88" fillId="0" borderId="0" xfId="0" applyFont="1"/>
    <xf numFmtId="0" fontId="107" fillId="0" borderId="0" xfId="0" applyFont="1" applyAlignment="1">
      <alignment horizontal="center"/>
    </xf>
    <xf numFmtId="0" fontId="108" fillId="0" borderId="0" xfId="0" applyFont="1" applyAlignment="1">
      <alignment horizontal="center"/>
    </xf>
    <xf numFmtId="4" fontId="109" fillId="0" borderId="0" xfId="0" applyNumberFormat="1" applyFont="1" applyAlignment="1">
      <alignment horizontal="center"/>
    </xf>
    <xf numFmtId="0" fontId="0" fillId="11" borderId="26" xfId="0" applyFill="1" applyBorder="1"/>
    <xf numFmtId="2" fontId="1" fillId="11" borderId="26" xfId="0" applyNumberFormat="1" applyFont="1" applyFill="1" applyBorder="1"/>
    <xf numFmtId="0" fontId="1" fillId="11" borderId="26" xfId="0" applyFont="1" applyFill="1" applyBorder="1"/>
    <xf numFmtId="0" fontId="88" fillId="11" borderId="26" xfId="0" applyFont="1" applyFill="1" applyBorder="1"/>
    <xf numFmtId="0" fontId="107" fillId="11" borderId="26" xfId="0" applyFont="1" applyFill="1" applyBorder="1" applyAlignment="1">
      <alignment horizontal="center"/>
    </xf>
    <xf numFmtId="2" fontId="108" fillId="11" borderId="26" xfId="0" applyNumberFormat="1" applyFont="1" applyFill="1" applyBorder="1" applyAlignment="1">
      <alignment horizontal="center"/>
    </xf>
    <xf numFmtId="0" fontId="0" fillId="6" borderId="42" xfId="0" applyFill="1" applyBorder="1"/>
    <xf numFmtId="0" fontId="111" fillId="11" borderId="0" xfId="0" applyFont="1" applyFill="1"/>
    <xf numFmtId="2" fontId="78" fillId="11" borderId="57" xfId="0" applyNumberFormat="1" applyFont="1" applyFill="1" applyBorder="1" applyAlignment="1">
      <alignment horizontal="center"/>
    </xf>
    <xf numFmtId="2" fontId="78" fillId="11" borderId="0" xfId="0" applyNumberFormat="1" applyFont="1" applyFill="1" applyAlignment="1">
      <alignment horizontal="center"/>
    </xf>
    <xf numFmtId="0" fontId="87" fillId="11" borderId="54" xfId="0" applyFont="1" applyFill="1" applyBorder="1"/>
    <xf numFmtId="0" fontId="112" fillId="6" borderId="25" xfId="0" applyFont="1" applyFill="1" applyBorder="1" applyAlignment="1">
      <alignment horizontal="center"/>
    </xf>
    <xf numFmtId="0" fontId="112" fillId="6" borderId="0" xfId="0" applyFont="1" applyFill="1" applyAlignment="1">
      <alignment horizontal="center"/>
    </xf>
    <xf numFmtId="0" fontId="54" fillId="11" borderId="0" xfId="0" applyFont="1" applyFill="1" applyAlignment="1">
      <alignment horizontal="center"/>
    </xf>
    <xf numFmtId="4" fontId="54" fillId="11" borderId="0" xfId="0" applyNumberFormat="1" applyFont="1" applyFill="1" applyAlignment="1">
      <alignment horizontal="center"/>
    </xf>
    <xf numFmtId="0" fontId="1" fillId="11" borderId="0" xfId="0" applyFont="1" applyFill="1" applyAlignment="1">
      <alignment horizontal="right"/>
    </xf>
    <xf numFmtId="0" fontId="113" fillId="6" borderId="25" xfId="0" applyFont="1" applyFill="1" applyBorder="1" applyAlignment="1">
      <alignment horizontal="center"/>
    </xf>
    <xf numFmtId="0" fontId="40" fillId="11" borderId="0" xfId="0" applyFont="1" applyFill="1" applyAlignment="1">
      <alignment horizontal="left"/>
    </xf>
    <xf numFmtId="0" fontId="40" fillId="11" borderId="0" xfId="0" applyFont="1" applyFill="1" applyAlignment="1">
      <alignment horizontal="center"/>
    </xf>
    <xf numFmtId="0" fontId="1" fillId="11" borderId="43" xfId="0" applyFont="1" applyFill="1" applyBorder="1" applyAlignment="1">
      <alignment horizontal="center"/>
    </xf>
    <xf numFmtId="0" fontId="1" fillId="11" borderId="0" xfId="0" applyFont="1" applyFill="1" applyAlignment="1">
      <alignment horizontal="center"/>
    </xf>
    <xf numFmtId="0" fontId="40" fillId="6" borderId="25" xfId="0" applyFont="1" applyFill="1" applyBorder="1" applyAlignment="1">
      <alignment horizontal="center"/>
    </xf>
    <xf numFmtId="0" fontId="40" fillId="11" borderId="1" xfId="0" applyFont="1" applyFill="1" applyBorder="1" applyAlignment="1">
      <alignment horizontal="center"/>
    </xf>
    <xf numFmtId="0" fontId="54" fillId="11" borderId="1" xfId="0" applyFont="1" applyFill="1" applyBorder="1" applyAlignment="1">
      <alignment horizontal="center"/>
    </xf>
    <xf numFmtId="0" fontId="40" fillId="11" borderId="19" xfId="0" applyFont="1" applyFill="1" applyBorder="1" applyAlignment="1">
      <alignment horizontal="center"/>
    </xf>
    <xf numFmtId="4" fontId="54" fillId="11" borderId="1" xfId="0" applyNumberFormat="1" applyFont="1" applyFill="1" applyBorder="1" applyAlignment="1">
      <alignment horizontal="center"/>
    </xf>
    <xf numFmtId="0" fontId="112" fillId="11" borderId="19" xfId="0" applyFont="1" applyFill="1" applyBorder="1" applyAlignment="1">
      <alignment horizontal="center"/>
    </xf>
    <xf numFmtId="0" fontId="114" fillId="11" borderId="0" xfId="0" applyFont="1" applyFill="1"/>
    <xf numFmtId="0" fontId="87" fillId="11" borderId="0" xfId="0" applyFont="1" applyFill="1" applyAlignment="1">
      <alignment horizontal="left"/>
    </xf>
    <xf numFmtId="0" fontId="77" fillId="11" borderId="45" xfId="0" applyFont="1" applyFill="1" applyBorder="1" applyAlignment="1">
      <alignment horizontal="center"/>
    </xf>
    <xf numFmtId="0" fontId="82" fillId="11" borderId="45" xfId="0" applyFont="1" applyFill="1" applyBorder="1" applyAlignment="1">
      <alignment horizontal="center"/>
    </xf>
    <xf numFmtId="0" fontId="82" fillId="11" borderId="46" xfId="0" applyFont="1" applyFill="1" applyBorder="1" applyAlignment="1">
      <alignment horizontal="center"/>
    </xf>
    <xf numFmtId="2" fontId="11" fillId="0" borderId="0" xfId="0" applyNumberFormat="1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36" xfId="0" applyFont="1" applyBorder="1" applyAlignment="1">
      <alignment horizontal="center" vertical="center"/>
    </xf>
    <xf numFmtId="0" fontId="70" fillId="6" borderId="36" xfId="0" applyFont="1" applyFill="1" applyBorder="1" applyAlignment="1">
      <alignment horizontal="center" vertical="center"/>
    </xf>
    <xf numFmtId="2" fontId="10" fillId="0" borderId="36" xfId="0" applyNumberFormat="1" applyFont="1" applyBorder="1" applyAlignment="1">
      <alignment horizontal="center" vertical="center" wrapText="1"/>
    </xf>
    <xf numFmtId="49" fontId="10" fillId="0" borderId="36" xfId="0" applyNumberFormat="1" applyFont="1" applyBorder="1" applyAlignment="1">
      <alignment horizontal="center"/>
    </xf>
    <xf numFmtId="2" fontId="10" fillId="0" borderId="36" xfId="0" applyNumberFormat="1" applyFont="1" applyBorder="1" applyAlignment="1">
      <alignment horizontal="center"/>
    </xf>
    <xf numFmtId="0" fontId="10" fillId="0" borderId="36" xfId="0" applyFont="1" applyBorder="1" applyAlignment="1">
      <alignment horizontal="center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3" fillId="0" borderId="36" xfId="0" applyFont="1" applyBorder="1" applyAlignment="1">
      <alignment horizontal="center"/>
    </xf>
    <xf numFmtId="0" fontId="11" fillId="0" borderId="36" xfId="0" applyFont="1" applyBorder="1" applyAlignment="1">
      <alignment horizontal="center"/>
    </xf>
    <xf numFmtId="0" fontId="10" fillId="0" borderId="0" xfId="0" applyFont="1"/>
    <xf numFmtId="0" fontId="10" fillId="0" borderId="0" xfId="0" applyFont="1" applyAlignment="1"/>
    <xf numFmtId="49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0" fontId="119" fillId="0" borderId="0" xfId="0" applyFont="1" applyAlignment="1">
      <alignment horizontal="justify"/>
    </xf>
    <xf numFmtId="0" fontId="11" fillId="0" borderId="0" xfId="0" applyFont="1" applyAlignment="1">
      <alignment horizontal="left" vertical="center"/>
    </xf>
    <xf numFmtId="0" fontId="122" fillId="0" borderId="0" xfId="0" applyFont="1" applyBorder="1"/>
    <xf numFmtId="164" fontId="124" fillId="4" borderId="0" xfId="3" applyNumberFormat="1" applyFont="1" applyAlignment="1">
      <alignment horizontal="center" vertical="center"/>
    </xf>
    <xf numFmtId="2" fontId="2" fillId="0" borderId="0" xfId="1" applyNumberFormat="1" applyFont="1"/>
    <xf numFmtId="2" fontId="2" fillId="0" borderId="0" xfId="1" applyNumberFormat="1" applyFont="1" applyBorder="1" applyAlignment="1">
      <alignment horizontal="center"/>
    </xf>
    <xf numFmtId="2" fontId="2" fillId="0" borderId="0" xfId="0" applyNumberFormat="1" applyFont="1" applyBorder="1"/>
    <xf numFmtId="0" fontId="2" fillId="0" borderId="0" xfId="0" applyFont="1" applyBorder="1"/>
    <xf numFmtId="2" fontId="2" fillId="0" borderId="0" xfId="0" applyNumberFormat="1" applyFont="1"/>
    <xf numFmtId="0" fontId="2" fillId="0" borderId="0" xfId="0" applyFont="1"/>
    <xf numFmtId="2" fontId="122" fillId="0" borderId="0" xfId="0" applyNumberFormat="1" applyFont="1" applyBorder="1"/>
    <xf numFmtId="0" fontId="102" fillId="0" borderId="0" xfId="1" applyFont="1"/>
    <xf numFmtId="0" fontId="70" fillId="0" borderId="0" xfId="1" applyFont="1" applyAlignment="1">
      <alignment horizontal="left" vertical="center"/>
    </xf>
    <xf numFmtId="0" fontId="102" fillId="0" borderId="0" xfId="1" applyFont="1" applyAlignment="1"/>
    <xf numFmtId="0" fontId="70" fillId="0" borderId="0" xfId="1" applyFont="1" applyAlignment="1"/>
    <xf numFmtId="0" fontId="11" fillId="0" borderId="0" xfId="0" applyFont="1" applyAlignment="1"/>
    <xf numFmtId="0" fontId="126" fillId="0" borderId="0" xfId="0" applyFont="1" applyBorder="1"/>
    <xf numFmtId="0" fontId="122" fillId="0" borderId="0" xfId="1" applyFont="1" applyAlignment="1"/>
    <xf numFmtId="0" fontId="11" fillId="0" borderId="0" xfId="0" applyFont="1" applyAlignment="1">
      <alignment horizontal="right"/>
    </xf>
    <xf numFmtId="0" fontId="23" fillId="0" borderId="0" xfId="0" applyFont="1"/>
    <xf numFmtId="0" fontId="119" fillId="0" borderId="0" xfId="0" applyFont="1"/>
    <xf numFmtId="0" fontId="70" fillId="0" borderId="0" xfId="0" applyFont="1"/>
    <xf numFmtId="0" fontId="127" fillId="0" borderId="0" xfId="0" applyFont="1"/>
    <xf numFmtId="2" fontId="11" fillId="0" borderId="0" xfId="0" applyNumberFormat="1" applyFont="1" applyAlignment="1">
      <alignment horizontal="center" vertical="center"/>
    </xf>
    <xf numFmtId="0" fontId="129" fillId="0" borderId="0" xfId="0" applyFont="1" applyAlignment="1">
      <alignment horizontal="left"/>
    </xf>
    <xf numFmtId="2" fontId="11" fillId="0" borderId="0" xfId="0" applyNumberFormat="1" applyFont="1" applyAlignment="1">
      <alignment horizontal="left"/>
    </xf>
    <xf numFmtId="4" fontId="13" fillId="0" borderId="0" xfId="0" applyNumberFormat="1" applyFont="1"/>
    <xf numFmtId="0" fontId="27" fillId="0" borderId="0" xfId="0" applyFont="1"/>
    <xf numFmtId="0" fontId="131" fillId="0" borderId="36" xfId="0" applyFont="1" applyBorder="1"/>
    <xf numFmtId="0" fontId="11" fillId="0" borderId="36" xfId="0" applyFont="1" applyBorder="1"/>
    <xf numFmtId="165" fontId="124" fillId="0" borderId="0" xfId="3" applyNumberFormat="1" applyFont="1" applyFill="1" applyAlignment="1">
      <alignment horizontal="center" vertical="center"/>
    </xf>
    <xf numFmtId="0" fontId="131" fillId="0" borderId="0" xfId="0" applyFont="1"/>
    <xf numFmtId="0" fontId="72" fillId="0" borderId="0" xfId="0" applyFont="1"/>
    <xf numFmtId="0" fontId="71" fillId="0" borderId="0" xfId="0" applyFont="1"/>
    <xf numFmtId="0" fontId="132" fillId="0" borderId="0" xfId="0" applyFont="1"/>
    <xf numFmtId="0" fontId="132" fillId="0" borderId="0" xfId="0" applyFont="1" applyAlignment="1">
      <alignment horizontal="left"/>
    </xf>
    <xf numFmtId="0" fontId="116" fillId="0" borderId="36" xfId="0" applyFont="1" applyBorder="1" applyAlignment="1">
      <alignment horizontal="right"/>
    </xf>
    <xf numFmtId="166" fontId="133" fillId="0" borderId="0" xfId="0" applyNumberFormat="1" applyFont="1" applyBorder="1" applyAlignment="1"/>
    <xf numFmtId="0" fontId="116" fillId="0" borderId="0" xfId="0" applyFont="1" applyAlignment="1">
      <alignment horizontal="right"/>
    </xf>
    <xf numFmtId="0" fontId="116" fillId="0" borderId="0" xfId="0" applyFont="1"/>
    <xf numFmtId="0" fontId="11" fillId="0" borderId="0" xfId="0" applyFont="1" applyAlignment="1">
      <alignment horizontal="center"/>
    </xf>
    <xf numFmtId="2" fontId="124" fillId="0" borderId="0" xfId="3" applyNumberFormat="1" applyFont="1" applyFill="1" applyAlignment="1">
      <alignment horizontal="center" vertical="center"/>
    </xf>
    <xf numFmtId="0" fontId="23" fillId="0" borderId="0" xfId="0" applyFont="1" applyAlignment="1">
      <alignment horizontal="center" vertical="center"/>
    </xf>
    <xf numFmtId="2" fontId="127" fillId="0" borderId="0" xfId="0" applyNumberFormat="1" applyFont="1"/>
    <xf numFmtId="165" fontId="115" fillId="11" borderId="36" xfId="0" applyNumberFormat="1" applyFont="1" applyFill="1" applyBorder="1" applyAlignment="1">
      <alignment horizontal="center"/>
    </xf>
    <xf numFmtId="2" fontId="70" fillId="0" borderId="36" xfId="0" applyNumberFormat="1" applyFont="1" applyBorder="1" applyAlignment="1">
      <alignment horizontal="center" vertical="center"/>
    </xf>
    <xf numFmtId="0" fontId="115" fillId="11" borderId="36" xfId="0" applyFont="1" applyFill="1" applyBorder="1" applyAlignment="1">
      <alignment horizontal="center" vertical="center"/>
    </xf>
    <xf numFmtId="165" fontId="70" fillId="6" borderId="36" xfId="0" applyNumberFormat="1" applyFont="1" applyFill="1" applyBorder="1" applyAlignment="1">
      <alignment horizontal="center" vertical="center"/>
    </xf>
    <xf numFmtId="2" fontId="70" fillId="0" borderId="36" xfId="0" applyNumberFormat="1" applyFont="1" applyBorder="1" applyAlignment="1">
      <alignment horizontal="center"/>
    </xf>
    <xf numFmtId="0" fontId="70" fillId="0" borderId="36" xfId="0" applyFont="1" applyBorder="1" applyAlignment="1">
      <alignment horizontal="center"/>
    </xf>
    <xf numFmtId="165" fontId="115" fillId="11" borderId="36" xfId="0" applyNumberFormat="1" applyFont="1" applyFill="1" applyBorder="1" applyAlignment="1">
      <alignment horizontal="center" vertical="center"/>
    </xf>
    <xf numFmtId="165" fontId="70" fillId="0" borderId="36" xfId="0" applyNumberFormat="1" applyFont="1" applyBorder="1" applyAlignment="1">
      <alignment horizontal="center" vertical="center"/>
    </xf>
    <xf numFmtId="165" fontId="115" fillId="0" borderId="36" xfId="0" applyNumberFormat="1" applyFont="1" applyBorder="1" applyAlignment="1">
      <alignment horizontal="center"/>
    </xf>
    <xf numFmtId="2" fontId="70" fillId="11" borderId="36" xfId="0" applyNumberFormat="1" applyFont="1" applyFill="1" applyBorder="1" applyAlignment="1">
      <alignment horizontal="center" vertical="center"/>
    </xf>
    <xf numFmtId="2" fontId="70" fillId="6" borderId="36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72" fillId="0" borderId="0" xfId="0" applyFont="1" applyBorder="1" applyAlignment="1">
      <alignment horizontal="center" vertical="center"/>
    </xf>
    <xf numFmtId="0" fontId="134" fillId="0" borderId="0" xfId="0" applyFont="1" applyBorder="1" applyAlignment="1">
      <alignment horizontal="center" vertical="center"/>
    </xf>
    <xf numFmtId="0" fontId="128" fillId="0" borderId="0" xfId="0" applyFont="1" applyBorder="1" applyAlignment="1">
      <alignment horizontal="center" vertical="center"/>
    </xf>
    <xf numFmtId="2" fontId="115" fillId="0" borderId="36" xfId="0" applyNumberFormat="1" applyFont="1" applyBorder="1" applyAlignment="1">
      <alignment horizontal="center" vertical="center"/>
    </xf>
    <xf numFmtId="0" fontId="11" fillId="0" borderId="0" xfId="0" applyFont="1" applyBorder="1"/>
    <xf numFmtId="0" fontId="70" fillId="0" borderId="8" xfId="0" applyFont="1" applyBorder="1" applyAlignment="1">
      <alignment horizontal="center" vertical="center"/>
    </xf>
    <xf numFmtId="2" fontId="70" fillId="0" borderId="8" xfId="0" applyNumberFormat="1" applyFont="1" applyBorder="1" applyAlignment="1">
      <alignment horizontal="center" vertical="center"/>
    </xf>
    <xf numFmtId="165" fontId="70" fillId="0" borderId="1" xfId="0" applyNumberFormat="1" applyFont="1" applyBorder="1" applyAlignment="1">
      <alignment horizontal="center" vertical="center"/>
    </xf>
    <xf numFmtId="0" fontId="70" fillId="0" borderId="0" xfId="0" applyFont="1" applyBorder="1" applyAlignment="1">
      <alignment horizontal="center" vertical="center"/>
    </xf>
    <xf numFmtId="2" fontId="70" fillId="0" borderId="0" xfId="0" applyNumberFormat="1" applyFont="1" applyBorder="1" applyAlignment="1">
      <alignment horizontal="center" vertical="center"/>
    </xf>
    <xf numFmtId="165" fontId="70" fillId="0" borderId="0" xfId="0" applyNumberFormat="1" applyFont="1" applyBorder="1" applyAlignment="1">
      <alignment horizontal="center" vertical="center"/>
    </xf>
    <xf numFmtId="165" fontId="70" fillId="0" borderId="8" xfId="0" applyNumberFormat="1" applyFont="1" applyBorder="1" applyAlignment="1">
      <alignment horizontal="center" vertical="center"/>
    </xf>
    <xf numFmtId="165" fontId="126" fillId="0" borderId="1" xfId="0" applyNumberFormat="1" applyFont="1" applyBorder="1" applyAlignment="1">
      <alignment horizontal="center" vertical="center"/>
    </xf>
    <xf numFmtId="2" fontId="70" fillId="0" borderId="1" xfId="0" applyNumberFormat="1" applyFont="1" applyBorder="1" applyAlignment="1">
      <alignment horizontal="center" vertical="center"/>
    </xf>
    <xf numFmtId="164" fontId="70" fillId="0" borderId="1" xfId="0" applyNumberFormat="1" applyFont="1" applyBorder="1" applyAlignment="1">
      <alignment horizontal="center" vertical="center"/>
    </xf>
    <xf numFmtId="164" fontId="70" fillId="0" borderId="8" xfId="0" applyNumberFormat="1" applyFont="1" applyBorder="1" applyAlignment="1">
      <alignment horizontal="center" vertical="center"/>
    </xf>
    <xf numFmtId="164" fontId="70" fillId="0" borderId="0" xfId="0" applyNumberFormat="1" applyFont="1" applyBorder="1" applyAlignment="1">
      <alignment horizontal="center" vertical="center"/>
    </xf>
    <xf numFmtId="2" fontId="70" fillId="0" borderId="0" xfId="0" applyNumberFormat="1" applyFont="1"/>
    <xf numFmtId="0" fontId="70" fillId="0" borderId="7" xfId="0" applyFont="1" applyBorder="1"/>
    <xf numFmtId="0" fontId="70" fillId="0" borderId="7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/>
    </xf>
    <xf numFmtId="0" fontId="70" fillId="0" borderId="0" xfId="0" applyFont="1" applyAlignment="1">
      <alignment vertical="center"/>
    </xf>
    <xf numFmtId="0" fontId="70" fillId="0" borderId="0" xfId="0" applyFont="1" applyBorder="1"/>
    <xf numFmtId="0" fontId="70" fillId="0" borderId="0" xfId="0" applyFont="1" applyAlignment="1">
      <alignment horizontal="left" vertical="center"/>
    </xf>
    <xf numFmtId="0" fontId="70" fillId="0" borderId="0" xfId="0" applyFont="1" applyAlignment="1">
      <alignment horizontal="center" vertical="center"/>
    </xf>
    <xf numFmtId="0" fontId="70" fillId="0" borderId="8" xfId="0" applyFont="1" applyBorder="1"/>
    <xf numFmtId="0" fontId="70" fillId="0" borderId="19" xfId="0" applyFont="1" applyBorder="1"/>
    <xf numFmtId="0" fontId="70" fillId="0" borderId="22" xfId="0" applyFont="1" applyBorder="1"/>
    <xf numFmtId="0" fontId="70" fillId="0" borderId="10" xfId="0" applyFont="1" applyBorder="1"/>
    <xf numFmtId="0" fontId="21" fillId="0" borderId="22" xfId="0" applyFont="1" applyBorder="1"/>
    <xf numFmtId="0" fontId="21" fillId="0" borderId="10" xfId="0" applyFont="1" applyBorder="1"/>
    <xf numFmtId="0" fontId="135" fillId="0" borderId="8" xfId="0" applyFont="1" applyBorder="1" applyAlignment="1">
      <alignment horizontal="center" vertical="center"/>
    </xf>
    <xf numFmtId="0" fontId="115" fillId="0" borderId="0" xfId="0" applyFont="1" applyAlignment="1">
      <alignment horizontal="left" vertical="center"/>
    </xf>
    <xf numFmtId="0" fontId="70" fillId="0" borderId="0" xfId="0" applyFont="1" applyBorder="1" applyAlignment="1">
      <alignment vertical="center"/>
    </xf>
    <xf numFmtId="0" fontId="21" fillId="0" borderId="0" xfId="0" applyFont="1" applyBorder="1"/>
    <xf numFmtId="2" fontId="70" fillId="0" borderId="19" xfId="0" applyNumberFormat="1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0" fontId="70" fillId="0" borderId="0" xfId="0" applyFont="1" applyAlignment="1">
      <alignment horizontal="center"/>
    </xf>
    <xf numFmtId="2" fontId="115" fillId="3" borderId="0" xfId="2" applyNumberFormat="1" applyFont="1" applyAlignment="1">
      <alignment horizontal="center" vertical="center"/>
    </xf>
    <xf numFmtId="2" fontId="70" fillId="0" borderId="0" xfId="0" applyNumberFormat="1" applyFont="1" applyAlignment="1">
      <alignment horizontal="center" vertical="center"/>
    </xf>
    <xf numFmtId="2" fontId="70" fillId="0" borderId="0" xfId="0" applyNumberFormat="1" applyFont="1" applyBorder="1" applyAlignment="1">
      <alignment vertical="center" wrapText="1"/>
    </xf>
    <xf numFmtId="2" fontId="70" fillId="0" borderId="0" xfId="0" applyNumberFormat="1" applyFont="1" applyBorder="1" applyAlignment="1"/>
    <xf numFmtId="0" fontId="70" fillId="0" borderId="1" xfId="0" applyFont="1" applyBorder="1"/>
    <xf numFmtId="2" fontId="115" fillId="3" borderId="0" xfId="2" applyNumberFormat="1" applyFont="1" applyAlignment="1">
      <alignment horizontal="center"/>
    </xf>
    <xf numFmtId="0" fontId="115" fillId="4" borderId="0" xfId="3" applyFont="1" applyAlignment="1">
      <alignment horizontal="center"/>
    </xf>
    <xf numFmtId="0" fontId="70" fillId="0" borderId="0" xfId="0" applyFont="1" applyAlignment="1">
      <alignment horizontal="right" vertical="center"/>
    </xf>
    <xf numFmtId="0" fontId="115" fillId="0" borderId="1" xfId="0" applyFont="1" applyBorder="1" applyAlignment="1">
      <alignment horizontal="center" vertical="center"/>
    </xf>
    <xf numFmtId="0" fontId="115" fillId="0" borderId="0" xfId="0" applyFont="1" applyBorder="1" applyAlignment="1">
      <alignment horizontal="center" vertical="center" wrapText="1"/>
    </xf>
    <xf numFmtId="0" fontId="115" fillId="0" borderId="0" xfId="0" applyFont="1" applyBorder="1" applyAlignment="1">
      <alignment horizontal="center" vertical="center"/>
    </xf>
    <xf numFmtId="2" fontId="115" fillId="0" borderId="0" xfId="0" applyNumberFormat="1" applyFont="1"/>
    <xf numFmtId="0" fontId="115" fillId="0" borderId="0" xfId="0" applyFont="1"/>
    <xf numFmtId="4" fontId="70" fillId="0" borderId="1" xfId="0" applyNumberFormat="1" applyFont="1" applyBorder="1" applyAlignment="1">
      <alignment horizontal="center"/>
    </xf>
    <xf numFmtId="2" fontId="70" fillId="0" borderId="25" xfId="0" applyNumberFormat="1" applyFont="1" applyBorder="1" applyAlignment="1">
      <alignment horizontal="center" vertical="center"/>
    </xf>
    <xf numFmtId="2" fontId="70" fillId="0" borderId="1" xfId="0" applyNumberFormat="1" applyFont="1" applyBorder="1" applyAlignment="1">
      <alignment horizontal="center" vertical="center" wrapText="1"/>
    </xf>
    <xf numFmtId="4" fontId="70" fillId="0" borderId="25" xfId="0" applyNumberFormat="1" applyFont="1" applyBorder="1" applyAlignment="1">
      <alignment horizontal="center" vertical="center"/>
    </xf>
    <xf numFmtId="0" fontId="70" fillId="0" borderId="0" xfId="0" applyFont="1" applyBorder="1" applyAlignment="1">
      <alignment horizontal="center"/>
    </xf>
    <xf numFmtId="4" fontId="70" fillId="0" borderId="0" xfId="0" applyNumberFormat="1" applyFont="1" applyBorder="1" applyAlignment="1">
      <alignment horizontal="center" vertical="center"/>
    </xf>
    <xf numFmtId="2" fontId="70" fillId="0" borderId="1" xfId="0" applyNumberFormat="1" applyFont="1" applyBorder="1" applyAlignment="1">
      <alignment vertical="center" wrapText="1"/>
    </xf>
    <xf numFmtId="168" fontId="70" fillId="0" borderId="1" xfId="0" applyNumberFormat="1" applyFont="1" applyBorder="1" applyAlignment="1">
      <alignment horizontal="center" vertical="center"/>
    </xf>
    <xf numFmtId="165" fontId="115" fillId="0" borderId="1" xfId="0" applyNumberFormat="1" applyFont="1" applyBorder="1" applyAlignment="1">
      <alignment horizontal="center" vertical="center"/>
    </xf>
    <xf numFmtId="167" fontId="9" fillId="0" borderId="36" xfId="0" applyNumberFormat="1" applyFont="1" applyBorder="1" applyAlignment="1">
      <alignment horizontal="center"/>
    </xf>
    <xf numFmtId="167" fontId="115" fillId="0" borderId="36" xfId="0" applyNumberFormat="1" applyFont="1" applyBorder="1" applyAlignment="1">
      <alignment horizontal="center"/>
    </xf>
    <xf numFmtId="0" fontId="70" fillId="0" borderId="0" xfId="0" applyFont="1" applyAlignment="1">
      <alignment horizontal="left"/>
    </xf>
    <xf numFmtId="164" fontId="70" fillId="4" borderId="0" xfId="3" applyNumberFormat="1" applyFont="1" applyAlignment="1">
      <alignment horizontal="center" vertical="center"/>
    </xf>
    <xf numFmtId="4" fontId="115" fillId="3" borderId="0" xfId="2" applyNumberFormat="1" applyFont="1" applyAlignment="1">
      <alignment horizontal="center" vertical="center"/>
    </xf>
    <xf numFmtId="0" fontId="70" fillId="4" borderId="0" xfId="3" applyFont="1" applyAlignment="1">
      <alignment horizontal="center" vertical="center"/>
    </xf>
    <xf numFmtId="2" fontId="70" fillId="4" borderId="0" xfId="3" applyNumberFormat="1" applyFont="1" applyAlignment="1">
      <alignment horizontal="center" vertical="center"/>
    </xf>
    <xf numFmtId="165" fontId="70" fillId="4" borderId="0" xfId="3" applyNumberFormat="1" applyFont="1" applyAlignment="1">
      <alignment horizontal="center" vertical="center"/>
    </xf>
    <xf numFmtId="167" fontId="115" fillId="4" borderId="36" xfId="3" applyNumberFormat="1" applyFont="1" applyBorder="1" applyAlignment="1">
      <alignment horizontal="center" vertical="center"/>
    </xf>
    <xf numFmtId="165" fontId="70" fillId="5" borderId="0" xfId="0" applyNumberFormat="1" applyFont="1" applyFill="1" applyAlignment="1">
      <alignment horizontal="center" vertical="center"/>
    </xf>
    <xf numFmtId="0" fontId="115" fillId="4" borderId="0" xfId="3" applyFont="1" applyAlignment="1">
      <alignment horizontal="center" vertical="center"/>
    </xf>
    <xf numFmtId="0" fontId="31" fillId="0" borderId="0" xfId="0" applyFont="1"/>
    <xf numFmtId="164" fontId="31" fillId="0" borderId="0" xfId="0" applyNumberFormat="1" applyFont="1" applyAlignment="1">
      <alignment horizontal="center" vertical="center"/>
    </xf>
    <xf numFmtId="164" fontId="31" fillId="0" borderId="0" xfId="0" applyNumberFormat="1" applyFont="1" applyBorder="1" applyAlignment="1">
      <alignment horizontal="center" vertical="center"/>
    </xf>
    <xf numFmtId="164" fontId="70" fillId="0" borderId="0" xfId="0" applyNumberFormat="1" applyFont="1" applyAlignment="1">
      <alignment horizontal="center" vertical="center"/>
    </xf>
    <xf numFmtId="164" fontId="70" fillId="0" borderId="0" xfId="0" applyNumberFormat="1" applyFont="1"/>
    <xf numFmtId="2" fontId="70" fillId="0" borderId="0" xfId="0" applyNumberFormat="1" applyFont="1" applyBorder="1" applyAlignment="1">
      <alignment vertical="center"/>
    </xf>
    <xf numFmtId="0" fontId="31" fillId="0" borderId="0" xfId="0" applyFont="1" applyBorder="1"/>
    <xf numFmtId="0" fontId="70" fillId="0" borderId="0" xfId="0" applyFont="1" applyAlignment="1"/>
    <xf numFmtId="0" fontId="70" fillId="0" borderId="25" xfId="0" applyFont="1" applyBorder="1" applyAlignment="1">
      <alignment horizontal="center" vertical="center"/>
    </xf>
    <xf numFmtId="0" fontId="31" fillId="0" borderId="0" xfId="0" applyFont="1" applyBorder="1" applyAlignment="1">
      <alignment vertical="center"/>
    </xf>
    <xf numFmtId="0" fontId="21" fillId="0" borderId="0" xfId="0" applyFont="1" applyAlignment="1">
      <alignment horizontal="left" vertical="center"/>
    </xf>
    <xf numFmtId="0" fontId="115" fillId="0" borderId="0" xfId="0" applyFont="1" applyBorder="1" applyAlignment="1">
      <alignment vertical="center"/>
    </xf>
    <xf numFmtId="2" fontId="70" fillId="0" borderId="1" xfId="0" applyNumberFormat="1" applyFont="1" applyBorder="1"/>
    <xf numFmtId="2" fontId="21" fillId="0" borderId="0" xfId="0" applyNumberFormat="1" applyFont="1"/>
    <xf numFmtId="0" fontId="138" fillId="0" borderId="1" xfId="0" applyFont="1" applyBorder="1" applyAlignment="1">
      <alignment horizontal="center" vertical="center"/>
    </xf>
    <xf numFmtId="0" fontId="138" fillId="0" borderId="19" xfId="0" applyFont="1" applyBorder="1" applyAlignment="1">
      <alignment horizontal="center" vertical="center"/>
    </xf>
    <xf numFmtId="0" fontId="138" fillId="0" borderId="10" xfId="0" applyFont="1" applyBorder="1" applyAlignment="1">
      <alignment horizontal="left" vertical="center"/>
    </xf>
    <xf numFmtId="0" fontId="70" fillId="0" borderId="0" xfId="1" applyFont="1" applyBorder="1"/>
    <xf numFmtId="0" fontId="138" fillId="0" borderId="8" xfId="0" applyFont="1" applyBorder="1" applyAlignment="1">
      <alignment horizontal="center"/>
    </xf>
    <xf numFmtId="0" fontId="138" fillId="0" borderId="8" xfId="0" applyFont="1" applyBorder="1" applyAlignment="1">
      <alignment horizontal="center" vertical="center"/>
    </xf>
    <xf numFmtId="0" fontId="138" fillId="0" borderId="12" xfId="0" applyFont="1" applyBorder="1" applyAlignment="1">
      <alignment horizontal="center"/>
    </xf>
    <xf numFmtId="0" fontId="138" fillId="0" borderId="18" xfId="0" applyFont="1" applyBorder="1" applyAlignment="1">
      <alignment horizontal="center" vertical="center"/>
    </xf>
    <xf numFmtId="0" fontId="138" fillId="0" borderId="12" xfId="0" applyFont="1" applyBorder="1" applyAlignment="1">
      <alignment horizontal="right" vertical="center"/>
    </xf>
    <xf numFmtId="0" fontId="138" fillId="0" borderId="0" xfId="0" applyFont="1" applyBorder="1" applyAlignment="1">
      <alignment vertical="center"/>
    </xf>
    <xf numFmtId="0" fontId="138" fillId="0" borderId="0" xfId="0" applyFont="1" applyBorder="1" applyAlignment="1">
      <alignment horizontal="center" vertical="center"/>
    </xf>
    <xf numFmtId="0" fontId="138" fillId="0" borderId="0" xfId="0" applyFont="1" applyBorder="1" applyAlignment="1">
      <alignment horizontal="right" vertical="center"/>
    </xf>
    <xf numFmtId="0" fontId="138" fillId="0" borderId="24" xfId="0" applyFont="1" applyBorder="1" applyAlignment="1">
      <alignment horizontal="center" vertical="center"/>
    </xf>
    <xf numFmtId="0" fontId="138" fillId="0" borderId="25" xfId="0" applyFont="1" applyBorder="1" applyAlignment="1">
      <alignment horizontal="center" vertical="center"/>
    </xf>
    <xf numFmtId="0" fontId="138" fillId="0" borderId="10" xfId="0" applyFont="1" applyBorder="1" applyAlignment="1">
      <alignment horizontal="right" vertical="center"/>
    </xf>
    <xf numFmtId="0" fontId="138" fillId="0" borderId="22" xfId="0" applyFont="1" applyBorder="1" applyAlignment="1">
      <alignment horizontal="center" vertical="center"/>
    </xf>
    <xf numFmtId="0" fontId="70" fillId="0" borderId="0" xfId="1" applyFont="1"/>
    <xf numFmtId="0" fontId="126" fillId="0" borderId="0" xfId="0" applyFont="1"/>
    <xf numFmtId="0" fontId="140" fillId="0" borderId="8" xfId="0" applyFont="1" applyBorder="1" applyAlignment="1">
      <alignment horizontal="center" vertical="center"/>
    </xf>
    <xf numFmtId="0" fontId="138" fillId="0" borderId="1" xfId="0" applyFont="1" applyBorder="1" applyAlignment="1">
      <alignment horizontal="center" vertical="center" wrapText="1"/>
    </xf>
    <xf numFmtId="0" fontId="70" fillId="3" borderId="0" xfId="2" applyFont="1" applyAlignment="1">
      <alignment horizontal="center" vertical="center"/>
    </xf>
    <xf numFmtId="0" fontId="138" fillId="0" borderId="1" xfId="0" applyFont="1" applyBorder="1" applyAlignment="1">
      <alignment vertical="center"/>
    </xf>
    <xf numFmtId="0" fontId="115" fillId="0" borderId="0" xfId="1" applyFont="1" applyBorder="1" applyAlignment="1">
      <alignment horizontal="right"/>
    </xf>
    <xf numFmtId="4" fontId="70" fillId="0" borderId="19" xfId="0" applyNumberFormat="1" applyFont="1" applyBorder="1" applyAlignment="1">
      <alignment horizontal="center" vertical="center"/>
    </xf>
    <xf numFmtId="0" fontId="138" fillId="0" borderId="23" xfId="0" applyFont="1" applyBorder="1" applyAlignment="1">
      <alignment vertical="center"/>
    </xf>
    <xf numFmtId="0" fontId="70" fillId="0" borderId="0" xfId="1" applyFont="1" applyBorder="1" applyAlignment="1">
      <alignment horizontal="right"/>
    </xf>
    <xf numFmtId="0" fontId="140" fillId="0" borderId="0" xfId="0" applyFont="1" applyBorder="1" applyAlignment="1">
      <alignment vertical="center"/>
    </xf>
    <xf numFmtId="0" fontId="70" fillId="0" borderId="8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49" fontId="49" fillId="7" borderId="0" xfId="0" applyNumberFormat="1" applyFont="1" applyFill="1" applyBorder="1" applyAlignment="1">
      <alignment horizontal="center" vertical="center"/>
    </xf>
    <xf numFmtId="49" fontId="50" fillId="8" borderId="0" xfId="0" applyNumberFormat="1" applyFont="1" applyFill="1" applyBorder="1" applyAlignment="1">
      <alignment horizontal="center" vertical="center"/>
    </xf>
    <xf numFmtId="49" fontId="45" fillId="0" borderId="35" xfId="0" applyNumberFormat="1" applyFont="1" applyBorder="1" applyAlignment="1">
      <alignment horizontal="center" vertical="center"/>
    </xf>
    <xf numFmtId="49" fontId="141" fillId="0" borderId="35" xfId="0" applyNumberFormat="1" applyFont="1" applyBorder="1" applyAlignment="1">
      <alignment horizontal="center" vertical="center"/>
    </xf>
    <xf numFmtId="0" fontId="64" fillId="0" borderId="0" xfId="0" applyFont="1" applyBorder="1" applyAlignment="1">
      <alignment horizontal="center" vertical="center"/>
    </xf>
    <xf numFmtId="0" fontId="67" fillId="0" borderId="0" xfId="0" applyFont="1" applyBorder="1" applyAlignment="1">
      <alignment horizontal="center" vertical="center"/>
    </xf>
    <xf numFmtId="0" fontId="66" fillId="0" borderId="0" xfId="0" applyFont="1" applyBorder="1" applyAlignment="1">
      <alignment horizontal="center" vertical="center"/>
    </xf>
    <xf numFmtId="2" fontId="70" fillId="0" borderId="1" xfId="0" applyNumberFormat="1" applyFont="1" applyBorder="1" applyAlignment="1">
      <alignment horizontal="center"/>
    </xf>
    <xf numFmtId="0" fontId="13" fillId="0" borderId="36" xfId="0" applyFont="1" applyBorder="1" applyAlignment="1">
      <alignment horizontal="center"/>
    </xf>
    <xf numFmtId="0" fontId="70" fillId="0" borderId="8" xfId="0" applyFont="1" applyBorder="1" applyAlignment="1">
      <alignment horizontal="center" vertical="center"/>
    </xf>
    <xf numFmtId="2" fontId="70" fillId="0" borderId="8" xfId="0" applyNumberFormat="1" applyFont="1" applyBorder="1" applyAlignment="1">
      <alignment horizontal="center" vertical="center"/>
    </xf>
    <xf numFmtId="0" fontId="138" fillId="0" borderId="10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/>
    </xf>
    <xf numFmtId="0" fontId="70" fillId="0" borderId="1" xfId="0" applyFont="1" applyBorder="1" applyAlignment="1">
      <alignment horizontal="center" vertical="center"/>
    </xf>
    <xf numFmtId="0" fontId="142" fillId="0" borderId="0" xfId="0" applyFont="1"/>
    <xf numFmtId="0" fontId="143" fillId="0" borderId="0" xfId="0" applyFont="1" applyAlignment="1">
      <alignment horizontal="center"/>
    </xf>
    <xf numFmtId="2" fontId="144" fillId="3" borderId="0" xfId="2" applyNumberFormat="1" applyFont="1" applyAlignment="1">
      <alignment horizontal="center" vertical="center"/>
    </xf>
    <xf numFmtId="2" fontId="13" fillId="0" borderId="0" xfId="0" applyNumberFormat="1" applyFont="1" applyAlignment="1">
      <alignment horizontal="center"/>
    </xf>
    <xf numFmtId="0" fontId="17" fillId="0" borderId="17" xfId="0" applyFont="1" applyBorder="1"/>
    <xf numFmtId="0" fontId="70" fillId="0" borderId="23" xfId="0" applyFont="1" applyBorder="1"/>
    <xf numFmtId="165" fontId="115" fillId="0" borderId="1" xfId="0" applyNumberFormat="1" applyFont="1" applyBorder="1" applyAlignment="1">
      <alignment horizontal="center" vertical="center" wrapText="1"/>
    </xf>
    <xf numFmtId="0" fontId="115" fillId="0" borderId="1" xfId="0" applyFont="1" applyBorder="1" applyAlignment="1">
      <alignment horizontal="center" vertical="center" wrapText="1"/>
    </xf>
    <xf numFmtId="0" fontId="70" fillId="0" borderId="36" xfId="0" applyFont="1" applyBorder="1" applyAlignment="1">
      <alignment horizontal="center"/>
    </xf>
    <xf numFmtId="0" fontId="70" fillId="0" borderId="1" xfId="0" applyFont="1" applyBorder="1" applyAlignment="1">
      <alignment horizontal="center" vertical="center"/>
    </xf>
    <xf numFmtId="2" fontId="70" fillId="0" borderId="1" xfId="0" applyNumberFormat="1" applyFont="1" applyBorder="1" applyAlignment="1">
      <alignment horizontal="center"/>
    </xf>
    <xf numFmtId="0" fontId="115" fillId="0" borderId="0" xfId="0" applyFont="1" applyAlignment="1">
      <alignment horizontal="center" vertical="center"/>
    </xf>
    <xf numFmtId="0" fontId="70" fillId="0" borderId="8" xfId="0" applyFont="1" applyBorder="1" applyAlignment="1">
      <alignment horizontal="center" vertical="center"/>
    </xf>
    <xf numFmtId="0" fontId="138" fillId="0" borderId="12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/>
    </xf>
    <xf numFmtId="0" fontId="145" fillId="0" borderId="0" xfId="1" applyFont="1" applyAlignment="1"/>
    <xf numFmtId="0" fontId="13" fillId="0" borderId="0" xfId="0" applyFont="1" applyAlignment="1">
      <alignment horizontal="right"/>
    </xf>
    <xf numFmtId="165" fontId="115" fillId="6" borderId="36" xfId="0" applyNumberFormat="1" applyFont="1" applyFill="1" applyBorder="1" applyAlignment="1">
      <alignment horizontal="center"/>
    </xf>
    <xf numFmtId="2" fontId="115" fillId="0" borderId="36" xfId="0" applyNumberFormat="1" applyFont="1" applyBorder="1" applyAlignment="1">
      <alignment horizontal="center"/>
    </xf>
    <xf numFmtId="2" fontId="70" fillId="6" borderId="36" xfId="0" applyNumberFormat="1" applyFont="1" applyFill="1" applyBorder="1" applyAlignment="1">
      <alignment horizontal="center"/>
    </xf>
    <xf numFmtId="0" fontId="0" fillId="0" borderId="0" xfId="0"/>
    <xf numFmtId="0" fontId="138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2" fontId="70" fillId="0" borderId="19" xfId="0" applyNumberFormat="1" applyFont="1" applyBorder="1" applyAlignment="1">
      <alignment horizontal="center" vertical="center"/>
    </xf>
    <xf numFmtId="0" fontId="17" fillId="0" borderId="0" xfId="0" applyFont="1" applyAlignment="1"/>
    <xf numFmtId="0" fontId="115" fillId="0" borderId="7" xfId="0" applyFont="1" applyBorder="1" applyAlignment="1">
      <alignment horizontal="center" vertical="center"/>
    </xf>
    <xf numFmtId="0" fontId="70" fillId="0" borderId="19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0" fontId="41" fillId="0" borderId="0" xfId="0" applyFont="1"/>
    <xf numFmtId="2" fontId="70" fillId="0" borderId="0" xfId="0" applyNumberFormat="1" applyFont="1" applyAlignment="1">
      <alignment horizontal="left" vertical="center"/>
    </xf>
    <xf numFmtId="0" fontId="4" fillId="0" borderId="7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115" fillId="0" borderId="7" xfId="0" applyFont="1" applyBorder="1" applyAlignment="1">
      <alignment horizontal="center" vertical="center"/>
    </xf>
    <xf numFmtId="0" fontId="115" fillId="0" borderId="8" xfId="0" applyFont="1" applyBorder="1" applyAlignment="1">
      <alignment horizontal="center" vertical="center"/>
    </xf>
    <xf numFmtId="0" fontId="47" fillId="0" borderId="37" xfId="0" applyFont="1" applyBorder="1" applyAlignment="1">
      <alignment horizontal="center" vertical="center"/>
    </xf>
    <xf numFmtId="0" fontId="47" fillId="0" borderId="59" xfId="0" applyFont="1" applyBorder="1" applyAlignment="1">
      <alignment horizontal="center" vertical="center"/>
    </xf>
    <xf numFmtId="0" fontId="47" fillId="0" borderId="38" xfId="0" applyFont="1" applyBorder="1" applyAlignment="1">
      <alignment horizontal="center" vertical="center"/>
    </xf>
    <xf numFmtId="0" fontId="0" fillId="0" borderId="37" xfId="0" applyFont="1" applyBorder="1" applyAlignment="1">
      <alignment horizontal="center" vertical="center"/>
    </xf>
    <xf numFmtId="0" fontId="0" fillId="0" borderId="59" xfId="0" applyFont="1" applyBorder="1" applyAlignment="1">
      <alignment horizontal="center" vertical="center"/>
    </xf>
    <xf numFmtId="0" fontId="0" fillId="0" borderId="38" xfId="0" applyFont="1" applyBorder="1" applyAlignment="1">
      <alignment horizontal="center" vertical="center"/>
    </xf>
    <xf numFmtId="0" fontId="138" fillId="0" borderId="22" xfId="0" applyFont="1" applyBorder="1" applyAlignment="1">
      <alignment horizontal="center" vertical="center"/>
    </xf>
    <xf numFmtId="0" fontId="138" fillId="0" borderId="10" xfId="0" applyFont="1" applyBorder="1" applyAlignment="1">
      <alignment horizontal="center" vertical="center"/>
    </xf>
    <xf numFmtId="0" fontId="115" fillId="0" borderId="36" xfId="0" applyFont="1" applyBorder="1" applyAlignment="1">
      <alignment horizontal="center" vertical="center" wrapText="1"/>
    </xf>
    <xf numFmtId="2" fontId="115" fillId="0" borderId="36" xfId="0" applyNumberFormat="1" applyFont="1" applyBorder="1" applyAlignment="1">
      <alignment horizontal="center" vertical="center" wrapText="1"/>
    </xf>
    <xf numFmtId="2" fontId="115" fillId="0" borderId="36" xfId="0" applyNumberFormat="1" applyFont="1" applyBorder="1" applyAlignment="1">
      <alignment horizontal="center" wrapText="1"/>
    </xf>
    <xf numFmtId="2" fontId="70" fillId="0" borderId="19" xfId="0" applyNumberFormat="1" applyFont="1" applyBorder="1" applyAlignment="1">
      <alignment horizontal="center" vertical="center"/>
    </xf>
    <xf numFmtId="2" fontId="70" fillId="0" borderId="22" xfId="0" applyNumberFormat="1" applyFont="1" applyBorder="1" applyAlignment="1">
      <alignment horizontal="center" vertical="center"/>
    </xf>
    <xf numFmtId="2" fontId="70" fillId="0" borderId="10" xfId="0" applyNumberFormat="1" applyFont="1" applyBorder="1" applyAlignment="1">
      <alignment horizontal="center" vertical="center"/>
    </xf>
    <xf numFmtId="0" fontId="138" fillId="0" borderId="21" xfId="0" applyFont="1" applyBorder="1" applyAlignment="1">
      <alignment horizontal="center" vertical="center"/>
    </xf>
    <xf numFmtId="0" fontId="138" fillId="0" borderId="18" xfId="0" applyFont="1" applyBorder="1" applyAlignment="1">
      <alignment horizontal="center" vertical="center"/>
    </xf>
    <xf numFmtId="0" fontId="138" fillId="0" borderId="17" xfId="0" applyFont="1" applyBorder="1" applyAlignment="1">
      <alignment horizontal="center" vertical="center"/>
    </xf>
    <xf numFmtId="0" fontId="138" fillId="0" borderId="12" xfId="0" applyFont="1" applyBorder="1" applyAlignment="1">
      <alignment horizontal="center" vertical="center"/>
    </xf>
    <xf numFmtId="0" fontId="138" fillId="0" borderId="7" xfId="0" applyFont="1" applyBorder="1" applyAlignment="1">
      <alignment horizontal="center" vertical="center"/>
    </xf>
    <xf numFmtId="0" fontId="138" fillId="0" borderId="8" xfId="0" applyFont="1" applyBorder="1" applyAlignment="1">
      <alignment horizontal="center" vertical="center"/>
    </xf>
    <xf numFmtId="0" fontId="115" fillId="0" borderId="24" xfId="0" applyFont="1" applyBorder="1" applyAlignment="1">
      <alignment horizontal="center" vertical="center"/>
    </xf>
    <xf numFmtId="2" fontId="115" fillId="0" borderId="7" xfId="0" applyNumberFormat="1" applyFont="1" applyBorder="1" applyAlignment="1">
      <alignment horizontal="center" vertical="center"/>
    </xf>
    <xf numFmtId="2" fontId="70" fillId="0" borderId="7" xfId="0" applyNumberFormat="1" applyFont="1" applyBorder="1" applyAlignment="1">
      <alignment horizontal="center" vertical="center" wrapText="1"/>
    </xf>
    <xf numFmtId="2" fontId="70" fillId="0" borderId="24" xfId="0" applyNumberFormat="1" applyFont="1" applyBorder="1" applyAlignment="1">
      <alignment horizontal="center" vertical="center" wrapText="1"/>
    </xf>
    <xf numFmtId="2" fontId="70" fillId="0" borderId="8" xfId="0" applyNumberFormat="1" applyFont="1" applyBorder="1" applyAlignment="1">
      <alignment horizontal="center" vertical="center" wrapText="1"/>
    </xf>
    <xf numFmtId="2" fontId="70" fillId="0" borderId="21" xfId="0" applyNumberFormat="1" applyFont="1" applyBorder="1" applyAlignment="1">
      <alignment horizontal="center" vertical="center"/>
    </xf>
    <xf numFmtId="2" fontId="70" fillId="0" borderId="17" xfId="0" applyNumberFormat="1" applyFont="1" applyBorder="1" applyAlignment="1">
      <alignment horizontal="center" vertical="center"/>
    </xf>
    <xf numFmtId="2" fontId="70" fillId="0" borderId="18" xfId="0" applyNumberFormat="1" applyFont="1" applyBorder="1" applyAlignment="1">
      <alignment horizontal="center" vertical="center"/>
    </xf>
    <xf numFmtId="2" fontId="70" fillId="0" borderId="12" xfId="0" applyNumberFormat="1" applyFont="1" applyBorder="1" applyAlignment="1">
      <alignment horizontal="center" vertical="center"/>
    </xf>
    <xf numFmtId="0" fontId="138" fillId="0" borderId="24" xfId="0" applyFont="1" applyBorder="1" applyAlignment="1">
      <alignment horizontal="center" vertical="center"/>
    </xf>
    <xf numFmtId="0" fontId="70" fillId="0" borderId="7" xfId="0" applyFont="1" applyBorder="1" applyAlignment="1">
      <alignment horizontal="center" vertical="center"/>
    </xf>
    <xf numFmtId="0" fontId="70" fillId="0" borderId="8" xfId="0" applyFont="1" applyBorder="1" applyAlignment="1">
      <alignment horizontal="center" vertical="center"/>
    </xf>
    <xf numFmtId="2" fontId="13" fillId="0" borderId="36" xfId="0" applyNumberFormat="1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/>
    </xf>
    <xf numFmtId="0" fontId="2" fillId="0" borderId="38" xfId="0" applyFont="1" applyBorder="1" applyAlignment="1">
      <alignment horizontal="center"/>
    </xf>
    <xf numFmtId="0" fontId="70" fillId="0" borderId="37" xfId="0" applyFont="1" applyBorder="1" applyAlignment="1">
      <alignment horizontal="center"/>
    </xf>
    <xf numFmtId="0" fontId="70" fillId="0" borderId="38" xfId="0" applyFont="1" applyBorder="1" applyAlignment="1">
      <alignment horizontal="center"/>
    </xf>
    <xf numFmtId="0" fontId="13" fillId="0" borderId="37" xfId="0" applyFont="1" applyBorder="1" applyAlignment="1">
      <alignment horizontal="center"/>
    </xf>
    <xf numFmtId="0" fontId="13" fillId="0" borderId="38" xfId="0" applyFont="1" applyBorder="1" applyAlignment="1">
      <alignment horizontal="center"/>
    </xf>
    <xf numFmtId="165" fontId="10" fillId="0" borderId="37" xfId="0" applyNumberFormat="1" applyFont="1" applyBorder="1" applyAlignment="1">
      <alignment horizontal="center"/>
    </xf>
    <xf numFmtId="165" fontId="10" fillId="0" borderId="38" xfId="0" applyNumberFormat="1" applyFont="1" applyBorder="1" applyAlignment="1">
      <alignment horizontal="center"/>
    </xf>
    <xf numFmtId="0" fontId="138" fillId="0" borderId="19" xfId="0" applyFont="1" applyBorder="1" applyAlignment="1">
      <alignment horizontal="left" vertical="center"/>
    </xf>
    <xf numFmtId="0" fontId="138" fillId="0" borderId="10" xfId="0" applyFont="1" applyBorder="1" applyAlignment="1">
      <alignment horizontal="left" vertical="center"/>
    </xf>
    <xf numFmtId="0" fontId="70" fillId="0" borderId="19" xfId="0" applyFont="1" applyBorder="1" applyAlignment="1">
      <alignment horizontal="center" vertical="center"/>
    </xf>
    <xf numFmtId="0" fontId="70" fillId="0" borderId="10" xfId="0" applyFont="1" applyBorder="1" applyAlignment="1">
      <alignment horizontal="center" vertical="center"/>
    </xf>
    <xf numFmtId="166" fontId="9" fillId="0" borderId="36" xfId="0" applyNumberFormat="1" applyFont="1" applyBorder="1" applyAlignment="1">
      <alignment horizontal="center"/>
    </xf>
    <xf numFmtId="2" fontId="70" fillId="0" borderId="7" xfId="0" applyNumberFormat="1" applyFont="1" applyBorder="1" applyAlignment="1">
      <alignment horizontal="center" vertical="center"/>
    </xf>
    <xf numFmtId="2" fontId="70" fillId="0" borderId="8" xfId="0" applyNumberFormat="1" applyFont="1" applyBorder="1" applyAlignment="1">
      <alignment horizontal="center" vertical="center"/>
    </xf>
    <xf numFmtId="0" fontId="115" fillId="0" borderId="7" xfId="0" applyFont="1" applyBorder="1" applyAlignment="1">
      <alignment horizontal="center" vertical="center" wrapText="1"/>
    </xf>
    <xf numFmtId="0" fontId="115" fillId="0" borderId="8" xfId="0" applyFont="1" applyBorder="1" applyAlignment="1">
      <alignment horizontal="center" vertical="center" wrapText="1"/>
    </xf>
    <xf numFmtId="0" fontId="70" fillId="0" borderId="24" xfId="0" applyFont="1" applyBorder="1" applyAlignment="1">
      <alignment horizontal="center" vertical="center"/>
    </xf>
    <xf numFmtId="0" fontId="70" fillId="0" borderId="21" xfId="0" applyFont="1" applyBorder="1" applyAlignment="1">
      <alignment horizontal="center" vertical="center"/>
    </xf>
    <xf numFmtId="0" fontId="70" fillId="0" borderId="17" xfId="0" applyFont="1" applyBorder="1" applyAlignment="1">
      <alignment horizontal="center" vertical="center"/>
    </xf>
    <xf numFmtId="0" fontId="70" fillId="0" borderId="36" xfId="0" applyFont="1" applyBorder="1" applyAlignment="1">
      <alignment horizontal="center"/>
    </xf>
    <xf numFmtId="0" fontId="131" fillId="0" borderId="36" xfId="0" applyFont="1" applyBorder="1" applyAlignment="1">
      <alignment horizontal="center"/>
    </xf>
    <xf numFmtId="166" fontId="11" fillId="0" borderId="19" xfId="0" applyNumberFormat="1" applyFont="1" applyBorder="1" applyAlignment="1">
      <alignment horizontal="center"/>
    </xf>
    <xf numFmtId="166" fontId="11" fillId="0" borderId="10" xfId="0" applyNumberFormat="1" applyFont="1" applyBorder="1" applyAlignment="1">
      <alignment horizontal="center"/>
    </xf>
    <xf numFmtId="166" fontId="9" fillId="0" borderId="37" xfId="0" applyNumberFormat="1" applyFont="1" applyBorder="1" applyAlignment="1">
      <alignment horizontal="center"/>
    </xf>
    <xf numFmtId="166" fontId="9" fillId="0" borderId="59" xfId="0" applyNumberFormat="1" applyFont="1" applyBorder="1" applyAlignment="1">
      <alignment horizontal="center"/>
    </xf>
    <xf numFmtId="166" fontId="9" fillId="0" borderId="38" xfId="0" applyNumberFormat="1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4" fontId="115" fillId="3" borderId="19" xfId="2" applyNumberFormat="1" applyFont="1" applyBorder="1" applyAlignment="1">
      <alignment horizontal="center"/>
    </xf>
    <xf numFmtId="4" fontId="115" fillId="3" borderId="10" xfId="2" applyNumberFormat="1" applyFont="1" applyBorder="1" applyAlignment="1">
      <alignment horizontal="center"/>
    </xf>
    <xf numFmtId="4" fontId="115" fillId="3" borderId="22" xfId="2" applyNumberFormat="1" applyFont="1" applyBorder="1" applyAlignment="1">
      <alignment horizontal="center"/>
    </xf>
    <xf numFmtId="4" fontId="11" fillId="0" borderId="19" xfId="0" applyNumberFormat="1" applyFont="1" applyBorder="1" applyAlignment="1">
      <alignment horizontal="center"/>
    </xf>
    <xf numFmtId="4" fontId="11" fillId="0" borderId="10" xfId="0" applyNumberFormat="1" applyFont="1" applyBorder="1" applyAlignment="1">
      <alignment horizontal="center"/>
    </xf>
    <xf numFmtId="2" fontId="115" fillId="0" borderId="19" xfId="0" applyNumberFormat="1" applyFont="1" applyBorder="1" applyAlignment="1">
      <alignment horizontal="center"/>
    </xf>
    <xf numFmtId="2" fontId="115" fillId="0" borderId="22" xfId="0" applyNumberFormat="1" applyFont="1" applyBorder="1" applyAlignment="1">
      <alignment horizontal="center"/>
    </xf>
    <xf numFmtId="2" fontId="115" fillId="0" borderId="10" xfId="0" applyNumberFormat="1" applyFont="1" applyBorder="1" applyAlignment="1">
      <alignment horizontal="center"/>
    </xf>
    <xf numFmtId="2" fontId="11" fillId="0" borderId="19" xfId="0" applyNumberFormat="1" applyFont="1" applyBorder="1" applyAlignment="1">
      <alignment horizontal="center"/>
    </xf>
    <xf numFmtId="2" fontId="11" fillId="0" borderId="22" xfId="0" applyNumberFormat="1" applyFont="1" applyBorder="1" applyAlignment="1">
      <alignment horizontal="center"/>
    </xf>
    <xf numFmtId="2" fontId="11" fillId="0" borderId="10" xfId="0" applyNumberFormat="1" applyFont="1" applyBorder="1" applyAlignment="1">
      <alignment horizontal="center"/>
    </xf>
    <xf numFmtId="2" fontId="115" fillId="0" borderId="19" xfId="0" applyNumberFormat="1" applyFont="1" applyBorder="1" applyAlignment="1">
      <alignment horizontal="center" vertical="center"/>
    </xf>
    <xf numFmtId="2" fontId="115" fillId="0" borderId="22" xfId="0" applyNumberFormat="1" applyFont="1" applyBorder="1" applyAlignment="1">
      <alignment horizontal="center" vertical="center"/>
    </xf>
    <xf numFmtId="2" fontId="115" fillId="0" borderId="10" xfId="0" applyNumberFormat="1" applyFont="1" applyBorder="1" applyAlignment="1">
      <alignment horizontal="center" vertical="center"/>
    </xf>
    <xf numFmtId="0" fontId="139" fillId="0" borderId="0" xfId="1" applyFont="1" applyAlignment="1">
      <alignment horizontal="left"/>
    </xf>
    <xf numFmtId="0" fontId="138" fillId="0" borderId="1" xfId="0" applyFont="1" applyBorder="1" applyAlignment="1">
      <alignment horizontal="center" vertical="center"/>
    </xf>
    <xf numFmtId="0" fontId="70" fillId="0" borderId="1" xfId="0" applyFont="1" applyBorder="1" applyAlignment="1">
      <alignment horizontal="center" vertical="center"/>
    </xf>
    <xf numFmtId="2" fontId="70" fillId="0" borderId="19" xfId="0" applyNumberFormat="1" applyFont="1" applyBorder="1" applyAlignment="1">
      <alignment horizontal="center"/>
    </xf>
    <xf numFmtId="2" fontId="70" fillId="0" borderId="22" xfId="0" applyNumberFormat="1" applyFont="1" applyBorder="1" applyAlignment="1">
      <alignment horizontal="center"/>
    </xf>
    <xf numFmtId="0" fontId="115" fillId="0" borderId="19" xfId="0" applyFont="1" applyBorder="1" applyAlignment="1">
      <alignment horizontal="center" vertical="center"/>
    </xf>
    <xf numFmtId="0" fontId="115" fillId="0" borderId="10" xfId="0" applyFont="1" applyBorder="1" applyAlignment="1">
      <alignment horizontal="center" vertical="center"/>
    </xf>
    <xf numFmtId="2" fontId="0" fillId="0" borderId="0" xfId="0" applyNumberFormat="1" applyFont="1" applyBorder="1" applyAlignment="1">
      <alignment horizontal="center" vertical="center"/>
    </xf>
    <xf numFmtId="2" fontId="70" fillId="0" borderId="7" xfId="0" applyNumberFormat="1" applyFont="1" applyBorder="1" applyAlignment="1">
      <alignment horizontal="center"/>
    </xf>
    <xf numFmtId="2" fontId="70" fillId="0" borderId="8" xfId="0" applyNumberFormat="1" applyFont="1" applyBorder="1" applyAlignment="1">
      <alignment horizontal="center"/>
    </xf>
    <xf numFmtId="2" fontId="70" fillId="0" borderId="10" xfId="0" applyNumberFormat="1" applyFont="1" applyBorder="1" applyAlignment="1">
      <alignment horizontal="center"/>
    </xf>
    <xf numFmtId="0" fontId="138" fillId="0" borderId="25" xfId="0" applyFont="1" applyBorder="1" applyAlignment="1">
      <alignment horizontal="center" vertical="center"/>
    </xf>
    <xf numFmtId="0" fontId="138" fillId="0" borderId="26" xfId="0" applyFont="1" applyBorder="1" applyAlignment="1">
      <alignment horizontal="center" vertical="center"/>
    </xf>
    <xf numFmtId="2" fontId="70" fillId="0" borderId="25" xfId="0" applyNumberFormat="1" applyFont="1" applyBorder="1" applyAlignment="1">
      <alignment horizontal="center" vertical="center"/>
    </xf>
    <xf numFmtId="0" fontId="70" fillId="0" borderId="22" xfId="0" applyFont="1" applyBorder="1" applyAlignment="1">
      <alignment horizontal="center" vertical="center"/>
    </xf>
    <xf numFmtId="0" fontId="70" fillId="0" borderId="19" xfId="0" applyFont="1" applyBorder="1" applyAlignment="1">
      <alignment horizontal="center"/>
    </xf>
    <xf numFmtId="0" fontId="70" fillId="0" borderId="10" xfId="0" applyFont="1" applyBorder="1" applyAlignment="1">
      <alignment horizontal="center"/>
    </xf>
    <xf numFmtId="0" fontId="70" fillId="0" borderId="7" xfId="0" applyFont="1" applyBorder="1" applyAlignment="1">
      <alignment horizontal="center"/>
    </xf>
    <xf numFmtId="0" fontId="70" fillId="0" borderId="8" xfId="0" applyFont="1" applyBorder="1" applyAlignment="1">
      <alignment horizontal="center"/>
    </xf>
    <xf numFmtId="0" fontId="138" fillId="0" borderId="23" xfId="0" applyFont="1" applyBorder="1" applyAlignment="1">
      <alignment horizontal="center" vertical="center"/>
    </xf>
    <xf numFmtId="0" fontId="138" fillId="0" borderId="20" xfId="0" applyFont="1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11" fillId="0" borderId="0" xfId="0" applyNumberFormat="1" applyFont="1" applyBorder="1" applyAlignment="1">
      <alignment horizontal="center" vertical="center"/>
    </xf>
    <xf numFmtId="0" fontId="138" fillId="0" borderId="0" xfId="0" applyFont="1" applyBorder="1" applyAlignment="1">
      <alignment horizontal="center" vertical="center"/>
    </xf>
    <xf numFmtId="0" fontId="70" fillId="0" borderId="18" xfId="0" applyFont="1" applyBorder="1" applyAlignment="1">
      <alignment horizontal="center" vertical="center"/>
    </xf>
    <xf numFmtId="0" fontId="70" fillId="0" borderId="12" xfId="0" applyFont="1" applyBorder="1" applyAlignment="1">
      <alignment horizontal="center" vertical="center"/>
    </xf>
    <xf numFmtId="0" fontId="70" fillId="0" borderId="21" xfId="0" applyFont="1" applyBorder="1" applyAlignment="1">
      <alignment horizontal="right" vertical="center"/>
    </xf>
    <xf numFmtId="0" fontId="70" fillId="0" borderId="17" xfId="0" applyFont="1" applyBorder="1" applyAlignment="1">
      <alignment horizontal="right" vertical="center"/>
    </xf>
    <xf numFmtId="0" fontId="70" fillId="0" borderId="18" xfId="0" applyFont="1" applyBorder="1" applyAlignment="1">
      <alignment horizontal="right" vertical="center"/>
    </xf>
    <xf numFmtId="0" fontId="70" fillId="0" borderId="12" xfId="0" applyFont="1" applyBorder="1" applyAlignment="1">
      <alignment horizontal="right" vertical="center"/>
    </xf>
    <xf numFmtId="0" fontId="70" fillId="0" borderId="1" xfId="0" applyFont="1" applyBorder="1" applyAlignment="1">
      <alignment horizontal="center"/>
    </xf>
    <xf numFmtId="2" fontId="70" fillId="0" borderId="1" xfId="0" applyNumberFormat="1" applyFont="1" applyBorder="1" applyAlignment="1">
      <alignment horizontal="center"/>
    </xf>
    <xf numFmtId="0" fontId="70" fillId="0" borderId="19" xfId="0" applyFont="1" applyBorder="1" applyAlignment="1">
      <alignment horizontal="center" wrapText="1"/>
    </xf>
    <xf numFmtId="0" fontId="70" fillId="0" borderId="10" xfId="0" applyFont="1" applyBorder="1" applyAlignment="1">
      <alignment horizontal="center" wrapText="1"/>
    </xf>
    <xf numFmtId="0" fontId="70" fillId="0" borderId="24" xfId="0" applyFont="1" applyBorder="1" applyAlignment="1">
      <alignment horizontal="center" vertical="center" wrapText="1"/>
    </xf>
    <xf numFmtId="0" fontId="70" fillId="0" borderId="8" xfId="0" applyFont="1" applyBorder="1" applyAlignment="1">
      <alignment horizontal="center" vertical="center" wrapText="1"/>
    </xf>
    <xf numFmtId="0" fontId="70" fillId="0" borderId="7" xfId="0" applyFont="1" applyBorder="1" applyAlignment="1">
      <alignment horizontal="center" vertical="center" wrapText="1"/>
    </xf>
    <xf numFmtId="2" fontId="70" fillId="0" borderId="21" xfId="0" applyNumberFormat="1" applyFont="1" applyBorder="1" applyAlignment="1">
      <alignment horizontal="center" vertical="center" wrapText="1"/>
    </xf>
    <xf numFmtId="2" fontId="70" fillId="0" borderId="23" xfId="0" applyNumberFormat="1" applyFont="1" applyBorder="1" applyAlignment="1">
      <alignment horizontal="center" vertical="center" wrapText="1"/>
    </xf>
    <xf numFmtId="2" fontId="70" fillId="0" borderId="17" xfId="0" applyNumberFormat="1" applyFont="1" applyBorder="1" applyAlignment="1">
      <alignment horizontal="center" vertical="center" wrapText="1"/>
    </xf>
    <xf numFmtId="2" fontId="70" fillId="0" borderId="18" xfId="0" applyNumberFormat="1" applyFont="1" applyBorder="1" applyAlignment="1">
      <alignment horizontal="center" vertical="center" wrapText="1"/>
    </xf>
    <xf numFmtId="2" fontId="70" fillId="0" borderId="20" xfId="0" applyNumberFormat="1" applyFont="1" applyBorder="1" applyAlignment="1">
      <alignment horizontal="center" vertical="center" wrapText="1"/>
    </xf>
    <xf numFmtId="2" fontId="70" fillId="0" borderId="12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2" fontId="12" fillId="0" borderId="0" xfId="1" applyNumberFormat="1" applyFont="1" applyAlignment="1">
      <alignment horizontal="left" vertical="top"/>
    </xf>
    <xf numFmtId="0" fontId="17" fillId="0" borderId="0" xfId="0" applyFont="1" applyBorder="1" applyAlignment="1">
      <alignment horizontal="center"/>
    </xf>
    <xf numFmtId="0" fontId="70" fillId="0" borderId="19" xfId="0" applyFont="1" applyBorder="1" applyAlignment="1">
      <alignment horizontal="left"/>
    </xf>
    <xf numFmtId="0" fontId="70" fillId="0" borderId="10" xfId="0" applyFont="1" applyBorder="1" applyAlignment="1">
      <alignment horizontal="left"/>
    </xf>
    <xf numFmtId="2" fontId="130" fillId="0" borderId="0" xfId="0" applyNumberFormat="1" applyFont="1" applyAlignment="1">
      <alignment horizontal="left"/>
    </xf>
    <xf numFmtId="2" fontId="116" fillId="0" borderId="36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readingOrder="2"/>
    </xf>
    <xf numFmtId="0" fontId="10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2" fontId="70" fillId="0" borderId="0" xfId="0" applyNumberFormat="1" applyFont="1" applyAlignment="1">
      <alignment horizontal="center" vertical="center"/>
    </xf>
    <xf numFmtId="0" fontId="119" fillId="0" borderId="0" xfId="0" applyFont="1" applyAlignment="1">
      <alignment horizontal="center"/>
    </xf>
    <xf numFmtId="0" fontId="13" fillId="0" borderId="36" xfId="0" applyFont="1" applyBorder="1" applyAlignment="1">
      <alignment horizontal="center"/>
    </xf>
    <xf numFmtId="0" fontId="10" fillId="0" borderId="0" xfId="0" applyFont="1" applyAlignment="1">
      <alignment horizontal="right"/>
    </xf>
    <xf numFmtId="2" fontId="10" fillId="0" borderId="37" xfId="0" applyNumberFormat="1" applyFont="1" applyBorder="1" applyAlignment="1">
      <alignment horizontal="center" vertical="center" wrapText="1"/>
    </xf>
    <xf numFmtId="2" fontId="10" fillId="0" borderId="38" xfId="0" applyNumberFormat="1" applyFont="1" applyBorder="1" applyAlignment="1">
      <alignment horizontal="center" vertical="center" wrapText="1"/>
    </xf>
    <xf numFmtId="2" fontId="9" fillId="0" borderId="36" xfId="0" applyNumberFormat="1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/>
    </xf>
    <xf numFmtId="0" fontId="11" fillId="0" borderId="10" xfId="0" applyFont="1" applyBorder="1" applyAlignment="1">
      <alignment horizontal="center"/>
    </xf>
    <xf numFmtId="0" fontId="48" fillId="0" borderId="32" xfId="0" applyFont="1" applyBorder="1" applyAlignment="1">
      <alignment horizontal="center" vertical="center"/>
    </xf>
    <xf numFmtId="0" fontId="40" fillId="0" borderId="34" xfId="0" applyFont="1" applyBorder="1"/>
    <xf numFmtId="0" fontId="42" fillId="0" borderId="28" xfId="0" applyFont="1" applyBorder="1" applyAlignment="1">
      <alignment horizontal="center"/>
    </xf>
    <xf numFmtId="0" fontId="0" fillId="0" borderId="29" xfId="0" applyFont="1" applyBorder="1" applyAlignment="1"/>
    <xf numFmtId="0" fontId="0" fillId="0" borderId="30" xfId="0" applyFont="1" applyBorder="1" applyAlignment="1"/>
    <xf numFmtId="0" fontId="39" fillId="0" borderId="0" xfId="0" applyFont="1" applyBorder="1" applyAlignment="1">
      <alignment horizontal="center"/>
    </xf>
    <xf numFmtId="0" fontId="40" fillId="0" borderId="0" xfId="0" applyFont="1" applyBorder="1"/>
    <xf numFmtId="0" fontId="42" fillId="0" borderId="29" xfId="0" applyFont="1" applyBorder="1" applyAlignment="1">
      <alignment horizontal="center"/>
    </xf>
    <xf numFmtId="0" fontId="42" fillId="0" borderId="30" xfId="0" applyFont="1" applyBorder="1" applyAlignment="1">
      <alignment horizontal="center"/>
    </xf>
    <xf numFmtId="0" fontId="39" fillId="0" borderId="31" xfId="0" applyFont="1" applyBorder="1" applyAlignment="1">
      <alignment horizontal="center"/>
    </xf>
    <xf numFmtId="0" fontId="40" fillId="0" borderId="31" xfId="0" applyFont="1" applyBorder="1"/>
    <xf numFmtId="49" fontId="43" fillId="0" borderId="32" xfId="0" applyNumberFormat="1" applyFont="1" applyBorder="1" applyAlignment="1">
      <alignment horizontal="center" vertical="center"/>
    </xf>
    <xf numFmtId="0" fontId="44" fillId="0" borderId="33" xfId="0" applyFont="1" applyBorder="1"/>
    <xf numFmtId="0" fontId="44" fillId="0" borderId="34" xfId="0" applyFont="1" applyBorder="1"/>
    <xf numFmtId="49" fontId="45" fillId="0" borderId="32" xfId="0" applyNumberFormat="1" applyFont="1" applyBorder="1" applyAlignment="1">
      <alignment horizontal="center" vertical="center"/>
    </xf>
    <xf numFmtId="0" fontId="46" fillId="0" borderId="33" xfId="0" applyFont="1" applyBorder="1"/>
    <xf numFmtId="0" fontId="46" fillId="0" borderId="34" xfId="0" applyFont="1" applyBorder="1"/>
    <xf numFmtId="0" fontId="24" fillId="0" borderId="32" xfId="0" applyFont="1" applyBorder="1" applyAlignment="1">
      <alignment horizontal="center" vertical="center"/>
    </xf>
    <xf numFmtId="0" fontId="2" fillId="0" borderId="34" xfId="0" applyFont="1" applyBorder="1"/>
    <xf numFmtId="0" fontId="57" fillId="0" borderId="0" xfId="1" applyFont="1" applyAlignment="1">
      <alignment horizontal="left"/>
    </xf>
    <xf numFmtId="0" fontId="24" fillId="0" borderId="34" xfId="0" applyFont="1" applyBorder="1" applyAlignment="1">
      <alignment horizontal="center" vertical="center"/>
    </xf>
    <xf numFmtId="0" fontId="64" fillId="0" borderId="7" xfId="0" applyFont="1" applyBorder="1" applyAlignment="1">
      <alignment horizontal="center" vertical="center"/>
    </xf>
    <xf numFmtId="0" fontId="64" fillId="0" borderId="24" xfId="0" applyFont="1" applyBorder="1" applyAlignment="1">
      <alignment horizontal="center" vertical="center"/>
    </xf>
    <xf numFmtId="0" fontId="64" fillId="0" borderId="8" xfId="0" applyFont="1" applyBorder="1" applyAlignment="1">
      <alignment horizontal="center" vertical="center"/>
    </xf>
    <xf numFmtId="0" fontId="61" fillId="0" borderId="1" xfId="0" applyFont="1" applyBorder="1" applyAlignment="1">
      <alignment horizontal="center" vertical="center"/>
    </xf>
    <xf numFmtId="0" fontId="62" fillId="0" borderId="1" xfId="0" applyFont="1" applyBorder="1" applyAlignment="1">
      <alignment horizontal="center" vertical="center"/>
    </xf>
    <xf numFmtId="0" fontId="106" fillId="11" borderId="7" xfId="0" applyFont="1" applyFill="1" applyBorder="1" applyAlignment="1">
      <alignment horizontal="center" vertical="center"/>
    </xf>
    <xf numFmtId="0" fontId="106" fillId="11" borderId="24" xfId="0" applyFont="1" applyFill="1" applyBorder="1" applyAlignment="1">
      <alignment horizontal="center" vertical="center"/>
    </xf>
    <xf numFmtId="0" fontId="106" fillId="11" borderId="8" xfId="0" applyFont="1" applyFill="1" applyBorder="1" applyAlignment="1">
      <alignment horizontal="center" vertical="center"/>
    </xf>
    <xf numFmtId="0" fontId="87" fillId="11" borderId="47" xfId="0" applyFont="1" applyFill="1" applyBorder="1" applyAlignment="1">
      <alignment horizontal="center"/>
    </xf>
    <xf numFmtId="0" fontId="87" fillId="11" borderId="50" xfId="0" applyFont="1" applyFill="1" applyBorder="1" applyAlignment="1">
      <alignment horizontal="center"/>
    </xf>
    <xf numFmtId="0" fontId="87" fillId="11" borderId="53" xfId="0" applyFont="1" applyFill="1" applyBorder="1" applyAlignment="1">
      <alignment horizontal="center"/>
    </xf>
    <xf numFmtId="0" fontId="54" fillId="11" borderId="0" xfId="0" applyFont="1" applyFill="1" applyAlignment="1">
      <alignment horizontal="center"/>
    </xf>
    <xf numFmtId="0" fontId="138" fillId="0" borderId="1" xfId="0" applyFont="1" applyBorder="1" applyAlignment="1">
      <alignment vertical="center" wrapText="1"/>
    </xf>
  </cellXfs>
  <cellStyles count="4">
    <cellStyle name="Insatisfaisant" xfId="3" builtinId="27"/>
    <cellStyle name="Normal" xfId="0" builtinId="0"/>
    <cellStyle name="Normal 2" xfId="1"/>
    <cellStyle name="Satisfaisant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 lvl="0">
              <a:defRPr sz="1400" b="1" i="1">
                <a:solidFill>
                  <a:srgbClr val="0070C0"/>
                </a:solidFill>
                <a:latin typeface="+mn-lt"/>
              </a:defRPr>
            </a:pPr>
            <a:r>
              <a:rPr lang="fr-FR" sz="1400" b="1" i="1">
                <a:solidFill>
                  <a:srgbClr val="0070C0"/>
                </a:solidFill>
                <a:latin typeface="+mn-lt"/>
              </a:rPr>
              <a:t>Distribution de l'effort Tranchant selon X-X</a:t>
            </a:r>
          </a:p>
        </c:rich>
      </c:tx>
      <c:layout>
        <c:manualLayout>
          <c:xMode val="edge"/>
          <c:yMode val="edge"/>
          <c:x val="0.15095549722951299"/>
          <c:y val="2.3809523809523812E-2"/>
        </c:manualLayout>
      </c:layout>
    </c:title>
    <c:plotArea>
      <c:layout>
        <c:manualLayout>
          <c:layoutTarget val="inner"/>
          <c:xMode val="edge"/>
          <c:yMode val="edge"/>
          <c:x val="0.15345441819772551"/>
          <c:y val="0.21543166479190123"/>
          <c:w val="0.81987891513560851"/>
          <c:h val="0.5169492875890519"/>
        </c:manualLayout>
      </c:layout>
      <c:barChart>
        <c:barDir val="col"/>
        <c:grouping val="clustered"/>
        <c:ser>
          <c:idx val="0"/>
          <c:order val="0"/>
          <c:spPr>
            <a:solidFill>
              <a:schemeClr val="accent1"/>
            </a:solidFill>
          </c:spPr>
          <c:dLbls>
            <c:dLbl>
              <c:idx val="0"/>
              <c:layout>
                <c:manualLayout>
                  <c:x val="1.4814814814814815E-2"/>
                  <c:y val="0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6E5-4A2C-9D80-3F0BABBD49F5}"/>
                </c:ext>
              </c:extLst>
            </c:dLbl>
            <c:dLbl>
              <c:idx val="1"/>
              <c:layout>
                <c:manualLayout>
                  <c:x val="-1.185185185185186E-2"/>
                  <c:y val="-1.7857142857142856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E5-4A2C-9D80-3F0BABBD49F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2000" b="1" i="0">
                    <a:solidFill>
                      <a:srgbClr val="FF0000"/>
                    </a:solidFill>
                    <a:latin typeface="Aharoni"/>
                  </a:defRPr>
                </a:pPr>
                <a:endParaRPr lang="fr-FR"/>
              </a:p>
            </c:tx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[1]Feuil2!$H$38:$I$38</c:f>
              <c:strCache>
                <c:ptCount val="2"/>
                <c:pt idx="0">
                  <c:v>FX Voile</c:v>
                </c:pt>
                <c:pt idx="1">
                  <c:v>FX Poteaux</c:v>
                </c:pt>
              </c:strCache>
            </c:strRef>
          </c:cat>
          <c:val>
            <c:numRef>
              <c:f>'coefi de comportement+les effor'!$G$60:$H$60</c:f>
              <c:numCache>
                <c:formatCode>0%</c:formatCode>
                <c:ptCount val="2"/>
                <c:pt idx="0">
                  <c:v>0.61009245290317593</c:v>
                </c:pt>
                <c:pt idx="1">
                  <c:v>0.38990754709682407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45E-4A6F-9ADF-BBB303272887}"/>
            </c:ext>
          </c:extLst>
        </c:ser>
        <c:axId val="139993472"/>
        <c:axId val="139995392"/>
      </c:barChart>
      <c:catAx>
        <c:axId val="139993472"/>
        <c:scaling>
          <c:orientation val="minMax"/>
        </c:scaling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General" sourceLinked="1"/>
        <c:majorTickMark val="none"/>
        <c:tickLblPos val="nextTo"/>
        <c:txPr>
          <a:bodyPr/>
          <a:lstStyle/>
          <a:p>
            <a:pPr lvl="0">
              <a:defRPr sz="1100" b="1" i="0">
                <a:solidFill>
                  <a:srgbClr val="000000"/>
                </a:solidFill>
                <a:latin typeface="Aharoni"/>
              </a:defRPr>
            </a:pPr>
            <a:endParaRPr lang="fr-FR"/>
          </a:p>
        </c:txPr>
        <c:crossAx val="139995392"/>
        <c:crosses val="autoZero"/>
        <c:lblAlgn val="ctr"/>
        <c:lblOffset val="100"/>
      </c:catAx>
      <c:valAx>
        <c:axId val="139995392"/>
        <c:scaling>
          <c:orientation val="minMax"/>
        </c:scaling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0%" sourceLinked="1"/>
        <c:majorTickMark val="none"/>
        <c:tickLblPos val="nextTo"/>
        <c:spPr>
          <a:ln/>
        </c:spPr>
        <c:txPr>
          <a:bodyPr/>
          <a:lstStyle/>
          <a:p>
            <a:pPr lvl="0">
              <a:defRPr b="1" i="0">
                <a:solidFill>
                  <a:srgbClr val="000000"/>
                </a:solidFill>
                <a:latin typeface="+mn-lt"/>
              </a:defRPr>
            </a:pPr>
            <a:endParaRPr lang="fr-FR"/>
          </a:p>
        </c:txPr>
        <c:crossAx val="139993472"/>
        <c:crosses val="autoZero"/>
        <c:crossBetween val="between"/>
      </c:valAx>
    </c:plotArea>
    <c:plotVisOnly val="1"/>
    <c:dispBlanksAs val="gap"/>
  </c:chart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 lvl="0">
              <a:defRPr sz="1400" b="1" i="1">
                <a:solidFill>
                  <a:srgbClr val="0070C0"/>
                </a:solidFill>
                <a:latin typeface="+mn-lt"/>
              </a:defRPr>
            </a:pPr>
            <a:r>
              <a:rPr lang="fr-FR" sz="1400" b="1" i="1">
                <a:solidFill>
                  <a:srgbClr val="0070C0"/>
                </a:solidFill>
                <a:latin typeface="+mn-lt"/>
              </a:rPr>
              <a:t>Distribution de l'effort Tranchant selon Y-Y</a:t>
            </a:r>
          </a:p>
        </c:rich>
      </c:tx>
      <c:layout>
        <c:manualLayout>
          <c:xMode val="edge"/>
          <c:yMode val="edge"/>
          <c:x val="0.15095549722951299"/>
          <c:y val="1.1904761904761913E-2"/>
        </c:manualLayout>
      </c:layout>
    </c:title>
    <c:plotArea>
      <c:layout/>
      <c:barChart>
        <c:barDir val="col"/>
        <c:grouping val="clustered"/>
        <c:ser>
          <c:idx val="0"/>
          <c:order val="0"/>
          <c:spPr>
            <a:solidFill>
              <a:schemeClr val="accent1"/>
            </a:solidFill>
          </c:spPr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2000" b="1" i="0">
                    <a:solidFill>
                      <a:srgbClr val="FF0000"/>
                    </a:solidFill>
                    <a:latin typeface="Aharoni"/>
                  </a:defRPr>
                </a:pPr>
                <a:endParaRPr lang="fr-FR"/>
              </a:p>
            </c:tx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[1]Feuil2!$H$51:$I$51</c:f>
              <c:strCache>
                <c:ptCount val="2"/>
                <c:pt idx="0">
                  <c:v>FY Voile</c:v>
                </c:pt>
                <c:pt idx="1">
                  <c:v>FY Poteaux</c:v>
                </c:pt>
              </c:strCache>
            </c:strRef>
          </c:cat>
          <c:val>
            <c:numRef>
              <c:f>('coefi de comportement+les effor'!$G$79,'coefi de comportement+les effor'!$H$79)</c:f>
              <c:numCache>
                <c:formatCode>0%</c:formatCode>
                <c:ptCount val="2"/>
                <c:pt idx="0">
                  <c:v>0.69209439037240372</c:v>
                </c:pt>
                <c:pt idx="1">
                  <c:v>0.30790560962759611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253-4365-B2DB-C39282279BF9}"/>
            </c:ext>
          </c:extLst>
        </c:ser>
        <c:axId val="140032640"/>
        <c:axId val="140047104"/>
      </c:barChart>
      <c:catAx>
        <c:axId val="140032640"/>
        <c:scaling>
          <c:orientation val="minMax"/>
        </c:scaling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General" sourceLinked="1"/>
        <c:majorTickMark val="none"/>
        <c:tickLblPos val="nextTo"/>
        <c:txPr>
          <a:bodyPr/>
          <a:lstStyle/>
          <a:p>
            <a:pPr lvl="0">
              <a:defRPr sz="1100" b="1" i="0">
                <a:solidFill>
                  <a:srgbClr val="000000"/>
                </a:solidFill>
                <a:latin typeface="Aharoni"/>
              </a:defRPr>
            </a:pPr>
            <a:endParaRPr lang="fr-FR"/>
          </a:p>
        </c:txPr>
        <c:crossAx val="140047104"/>
        <c:crosses val="autoZero"/>
        <c:lblAlgn val="ctr"/>
        <c:lblOffset val="100"/>
      </c:catAx>
      <c:valAx>
        <c:axId val="140047104"/>
        <c:scaling>
          <c:orientation val="minMax"/>
        </c:scaling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0%" sourceLinked="1"/>
        <c:majorTickMark val="none"/>
        <c:tickLblPos val="nextTo"/>
        <c:spPr>
          <a:ln/>
        </c:spPr>
        <c:txPr>
          <a:bodyPr/>
          <a:lstStyle/>
          <a:p>
            <a:pPr lvl="0">
              <a:defRPr b="1" i="0">
                <a:solidFill>
                  <a:srgbClr val="000000"/>
                </a:solidFill>
                <a:latin typeface="+mn-lt"/>
              </a:defRPr>
            </a:pPr>
            <a:endParaRPr lang="fr-FR"/>
          </a:p>
        </c:txPr>
        <c:crossAx val="140032640"/>
        <c:crosses val="autoZero"/>
        <c:crossBetween val="between"/>
      </c:valAx>
    </c:plotArea>
    <c:plotVisOnly val="1"/>
    <c:dispBlanksAs val="gap"/>
  </c:chart>
  <c:printSettings>
    <c:headerFooter/>
    <c:pageMargins b="0.75000000000000344" l="0.70000000000000062" r="0.70000000000000062" t="0.750000000000003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 lvl="0">
              <a:defRPr sz="1400" b="1" i="1">
                <a:solidFill>
                  <a:srgbClr val="0070C0"/>
                </a:solidFill>
                <a:latin typeface="+mn-lt"/>
              </a:defRPr>
            </a:pPr>
            <a:r>
              <a:rPr lang="fr-FR" sz="1400" b="1" i="1">
                <a:solidFill>
                  <a:srgbClr val="0070C0"/>
                </a:solidFill>
                <a:latin typeface="+mn-lt"/>
              </a:rPr>
              <a:t>Distribution de l'effort Normal</a:t>
            </a:r>
          </a:p>
        </c:rich>
      </c:tx>
      <c:layout>
        <c:manualLayout>
          <c:xMode val="edge"/>
          <c:yMode val="edge"/>
          <c:x val="0.15095549722951299"/>
          <c:y val="2.3809523809523812E-2"/>
        </c:manualLayout>
      </c:layout>
    </c:title>
    <c:plotArea>
      <c:layout>
        <c:manualLayout>
          <c:layoutTarget val="inner"/>
          <c:xMode val="edge"/>
          <c:yMode val="edge"/>
          <c:x val="0.15345441819772551"/>
          <c:y val="0.21543166479190123"/>
          <c:w val="0.81987891513560851"/>
          <c:h val="0.5169492875890519"/>
        </c:manualLayout>
      </c:layout>
      <c:barChart>
        <c:barDir val="col"/>
        <c:grouping val="clustered"/>
        <c:ser>
          <c:idx val="0"/>
          <c:order val="0"/>
          <c:tx>
            <c:v>serie</c:v>
          </c:tx>
          <c:spPr>
            <a:solidFill>
              <a:schemeClr val="accent1"/>
            </a:solidFill>
          </c:spPr>
          <c:dLbls>
            <c:dLbl>
              <c:idx val="0"/>
              <c:layout>
                <c:manualLayout>
                  <c:x val="1.4814814814814815E-2"/>
                  <c:y val="0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64A-4F2E-84BD-ED351F3C1E14}"/>
                </c:ext>
              </c:extLst>
            </c:dLbl>
            <c:dLbl>
              <c:idx val="1"/>
              <c:layout>
                <c:manualLayout>
                  <c:x val="-1.185185185185186E-2"/>
                  <c:y val="-1.7857142857142856E-2"/>
                </c:manualLayout>
              </c:layout>
              <c:showVal val="1"/>
              <c:extLst xmlns:c16r2="http://schemas.microsoft.com/office/drawing/2015/06/chart"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4A-4F2E-84BD-ED351F3C1E14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 lvl="0">
                  <a:defRPr sz="2000" b="1" i="0">
                    <a:solidFill>
                      <a:srgbClr val="FF0000"/>
                    </a:solidFill>
                    <a:latin typeface="Aharoni"/>
                  </a:defRPr>
                </a:pPr>
                <a:endParaRPr lang="fr-FR"/>
              </a:p>
            </c:txPr>
            <c:showVal val="1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('coefi de comportement+les effor'!$D$8,'coefi de comportement+les effor'!$I$8)</c:f>
              <c:strCache>
                <c:ptCount val="2"/>
                <c:pt idx="0">
                  <c:v>N voile</c:v>
                </c:pt>
                <c:pt idx="1">
                  <c:v>N poteaux</c:v>
                </c:pt>
              </c:strCache>
            </c:strRef>
          </c:cat>
          <c:val>
            <c:numRef>
              <c:f>'coefi de comportement+les effor'!$G$41:$H$41</c:f>
              <c:numCache>
                <c:formatCode>0%</c:formatCode>
                <c:ptCount val="2"/>
                <c:pt idx="0">
                  <c:v>0.20772949268837548</c:v>
                </c:pt>
                <c:pt idx="1">
                  <c:v>0.79227050731162463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464A-4F2E-84BD-ED351F3C1E14}"/>
            </c:ext>
          </c:extLst>
        </c:ser>
        <c:axId val="123524992"/>
        <c:axId val="123531264"/>
      </c:barChart>
      <c:catAx>
        <c:axId val="123524992"/>
        <c:scaling>
          <c:orientation val="minMax"/>
        </c:scaling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General" sourceLinked="1"/>
        <c:majorTickMark val="none"/>
        <c:tickLblPos val="nextTo"/>
        <c:txPr>
          <a:bodyPr/>
          <a:lstStyle/>
          <a:p>
            <a:pPr lvl="0">
              <a:defRPr sz="1100" b="1" i="0">
                <a:solidFill>
                  <a:srgbClr val="000000"/>
                </a:solidFill>
                <a:latin typeface="Aharoni"/>
              </a:defRPr>
            </a:pPr>
            <a:endParaRPr lang="fr-FR"/>
          </a:p>
        </c:txPr>
        <c:crossAx val="123531264"/>
        <c:crosses val="autoZero"/>
        <c:lblAlgn val="ctr"/>
        <c:lblOffset val="100"/>
      </c:catAx>
      <c:valAx>
        <c:axId val="123531264"/>
        <c:scaling>
          <c:orientation val="minMax"/>
        </c:scaling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endParaRPr lang="fr-FR"/>
              </a:p>
            </c:rich>
          </c:tx>
        </c:title>
        <c:numFmt formatCode="0%" sourceLinked="1"/>
        <c:majorTickMark val="none"/>
        <c:tickLblPos val="nextTo"/>
        <c:spPr>
          <a:ln/>
        </c:spPr>
        <c:txPr>
          <a:bodyPr/>
          <a:lstStyle/>
          <a:p>
            <a:pPr lvl="0">
              <a:defRPr b="1" i="0">
                <a:solidFill>
                  <a:srgbClr val="000000"/>
                </a:solidFill>
                <a:latin typeface="+mn-lt"/>
              </a:defRPr>
            </a:pPr>
            <a:endParaRPr lang="fr-FR"/>
          </a:p>
        </c:txPr>
        <c:crossAx val="123524992"/>
        <c:crosses val="autoZero"/>
        <c:crossBetween val="between"/>
      </c:valAx>
    </c:plotArea>
    <c:plotVisOnly val="1"/>
    <c:dispBlanksAs val="gap"/>
  </c:chart>
  <c:printSettings>
    <c:headerFooter/>
    <c:pageMargins b="0.75000000000000322" l="0.70000000000000062" r="0.70000000000000062" t="0.750000000000003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w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6" Type="http://schemas.openxmlformats.org/officeDocument/2006/relationships/image" Target="../media/image6.w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vmlDrawing1.vml.rels><?xml version="1.0" encoding="UTF-8" standalone="yes"?>
<Relationships xmlns="http://schemas.openxmlformats.org/package/2006/relationships"><Relationship Id="rId26" Type="http://schemas.openxmlformats.org/officeDocument/2006/relationships/image" Target="../media/image34.wmf"/><Relationship Id="rId117" Type="http://schemas.openxmlformats.org/officeDocument/2006/relationships/image" Target="../media/image125.wmf"/><Relationship Id="rId21" Type="http://schemas.openxmlformats.org/officeDocument/2006/relationships/image" Target="../media/image29.wmf"/><Relationship Id="rId42" Type="http://schemas.openxmlformats.org/officeDocument/2006/relationships/image" Target="../media/image50.emf"/><Relationship Id="rId47" Type="http://schemas.openxmlformats.org/officeDocument/2006/relationships/image" Target="../media/image55.emf"/><Relationship Id="rId63" Type="http://schemas.openxmlformats.org/officeDocument/2006/relationships/image" Target="../media/image71.emf"/><Relationship Id="rId68" Type="http://schemas.openxmlformats.org/officeDocument/2006/relationships/image" Target="../media/image76.emf"/><Relationship Id="rId84" Type="http://schemas.openxmlformats.org/officeDocument/2006/relationships/image" Target="../media/image92.wmf"/><Relationship Id="rId89" Type="http://schemas.openxmlformats.org/officeDocument/2006/relationships/image" Target="../media/image97.wmf"/><Relationship Id="rId112" Type="http://schemas.openxmlformats.org/officeDocument/2006/relationships/image" Target="../media/image120.wmf"/><Relationship Id="rId133" Type="http://schemas.openxmlformats.org/officeDocument/2006/relationships/image" Target="../media/image141.wmf"/><Relationship Id="rId138" Type="http://schemas.openxmlformats.org/officeDocument/2006/relationships/image" Target="../media/image146.emf"/><Relationship Id="rId16" Type="http://schemas.openxmlformats.org/officeDocument/2006/relationships/image" Target="../media/image24.wmf"/><Relationship Id="rId107" Type="http://schemas.openxmlformats.org/officeDocument/2006/relationships/image" Target="../media/image115.wmf"/><Relationship Id="rId11" Type="http://schemas.openxmlformats.org/officeDocument/2006/relationships/image" Target="../media/image19.wmf"/><Relationship Id="rId32" Type="http://schemas.openxmlformats.org/officeDocument/2006/relationships/image" Target="../media/image40.wmf"/><Relationship Id="rId37" Type="http://schemas.openxmlformats.org/officeDocument/2006/relationships/image" Target="../media/image45.wmf"/><Relationship Id="rId53" Type="http://schemas.openxmlformats.org/officeDocument/2006/relationships/image" Target="../media/image61.wmf"/><Relationship Id="rId58" Type="http://schemas.openxmlformats.org/officeDocument/2006/relationships/image" Target="../media/image66.wmf"/><Relationship Id="rId74" Type="http://schemas.openxmlformats.org/officeDocument/2006/relationships/image" Target="../media/image82.emf"/><Relationship Id="rId79" Type="http://schemas.openxmlformats.org/officeDocument/2006/relationships/image" Target="../media/image87.wmf"/><Relationship Id="rId102" Type="http://schemas.openxmlformats.org/officeDocument/2006/relationships/image" Target="../media/image110.wmf"/><Relationship Id="rId123" Type="http://schemas.openxmlformats.org/officeDocument/2006/relationships/image" Target="../media/image131.wmf"/><Relationship Id="rId128" Type="http://schemas.openxmlformats.org/officeDocument/2006/relationships/image" Target="../media/image136.wmf"/><Relationship Id="rId5" Type="http://schemas.openxmlformats.org/officeDocument/2006/relationships/image" Target="../media/image13.wmf"/><Relationship Id="rId90" Type="http://schemas.openxmlformats.org/officeDocument/2006/relationships/image" Target="../media/image98.wmf"/><Relationship Id="rId95" Type="http://schemas.openxmlformats.org/officeDocument/2006/relationships/image" Target="../media/image103.wmf"/><Relationship Id="rId22" Type="http://schemas.openxmlformats.org/officeDocument/2006/relationships/image" Target="../media/image30.wmf"/><Relationship Id="rId27" Type="http://schemas.openxmlformats.org/officeDocument/2006/relationships/image" Target="../media/image35.wmf"/><Relationship Id="rId43" Type="http://schemas.openxmlformats.org/officeDocument/2006/relationships/image" Target="../media/image51.wmf"/><Relationship Id="rId48" Type="http://schemas.openxmlformats.org/officeDocument/2006/relationships/image" Target="../media/image56.wmf"/><Relationship Id="rId64" Type="http://schemas.openxmlformats.org/officeDocument/2006/relationships/image" Target="../media/image72.emf"/><Relationship Id="rId69" Type="http://schemas.openxmlformats.org/officeDocument/2006/relationships/image" Target="../media/image77.emf"/><Relationship Id="rId113" Type="http://schemas.openxmlformats.org/officeDocument/2006/relationships/image" Target="../media/image121.wmf"/><Relationship Id="rId118" Type="http://schemas.openxmlformats.org/officeDocument/2006/relationships/image" Target="../media/image126.wmf"/><Relationship Id="rId134" Type="http://schemas.openxmlformats.org/officeDocument/2006/relationships/image" Target="../media/image142.wmf"/><Relationship Id="rId139" Type="http://schemas.openxmlformats.org/officeDocument/2006/relationships/image" Target="../media/image147.wmf"/><Relationship Id="rId8" Type="http://schemas.openxmlformats.org/officeDocument/2006/relationships/image" Target="../media/image16.wmf"/><Relationship Id="rId51" Type="http://schemas.openxmlformats.org/officeDocument/2006/relationships/image" Target="../media/image59.wmf"/><Relationship Id="rId72" Type="http://schemas.openxmlformats.org/officeDocument/2006/relationships/image" Target="../media/image80.wmf"/><Relationship Id="rId80" Type="http://schemas.openxmlformats.org/officeDocument/2006/relationships/image" Target="../media/image88.wmf"/><Relationship Id="rId85" Type="http://schemas.openxmlformats.org/officeDocument/2006/relationships/image" Target="../media/image93.wmf"/><Relationship Id="rId93" Type="http://schemas.openxmlformats.org/officeDocument/2006/relationships/image" Target="../media/image101.wmf"/><Relationship Id="rId98" Type="http://schemas.openxmlformats.org/officeDocument/2006/relationships/image" Target="../media/image106.wmf"/><Relationship Id="rId121" Type="http://schemas.openxmlformats.org/officeDocument/2006/relationships/image" Target="../media/image129.wmf"/><Relationship Id="rId3" Type="http://schemas.openxmlformats.org/officeDocument/2006/relationships/image" Target="../media/image11.wmf"/><Relationship Id="rId12" Type="http://schemas.openxmlformats.org/officeDocument/2006/relationships/image" Target="../media/image20.emf"/><Relationship Id="rId17" Type="http://schemas.openxmlformats.org/officeDocument/2006/relationships/image" Target="../media/image25.wmf"/><Relationship Id="rId25" Type="http://schemas.openxmlformats.org/officeDocument/2006/relationships/image" Target="../media/image33.wmf"/><Relationship Id="rId33" Type="http://schemas.openxmlformats.org/officeDocument/2006/relationships/image" Target="../media/image41.wmf"/><Relationship Id="rId38" Type="http://schemas.openxmlformats.org/officeDocument/2006/relationships/image" Target="../media/image46.wmf"/><Relationship Id="rId46" Type="http://schemas.openxmlformats.org/officeDocument/2006/relationships/image" Target="../media/image54.emf"/><Relationship Id="rId59" Type="http://schemas.openxmlformats.org/officeDocument/2006/relationships/image" Target="../media/image67.emf"/><Relationship Id="rId67" Type="http://schemas.openxmlformats.org/officeDocument/2006/relationships/image" Target="../media/image75.emf"/><Relationship Id="rId103" Type="http://schemas.openxmlformats.org/officeDocument/2006/relationships/image" Target="../media/image111.wmf"/><Relationship Id="rId108" Type="http://schemas.openxmlformats.org/officeDocument/2006/relationships/image" Target="../media/image116.wmf"/><Relationship Id="rId116" Type="http://schemas.openxmlformats.org/officeDocument/2006/relationships/image" Target="../media/image124.wmf"/><Relationship Id="rId124" Type="http://schemas.openxmlformats.org/officeDocument/2006/relationships/image" Target="../media/image132.wmf"/><Relationship Id="rId129" Type="http://schemas.openxmlformats.org/officeDocument/2006/relationships/image" Target="../media/image137.wmf"/><Relationship Id="rId137" Type="http://schemas.openxmlformats.org/officeDocument/2006/relationships/image" Target="../media/image145.emf"/><Relationship Id="rId20" Type="http://schemas.openxmlformats.org/officeDocument/2006/relationships/image" Target="../media/image28.emf"/><Relationship Id="rId41" Type="http://schemas.openxmlformats.org/officeDocument/2006/relationships/image" Target="../media/image49.emf"/><Relationship Id="rId54" Type="http://schemas.openxmlformats.org/officeDocument/2006/relationships/image" Target="../media/image62.wmf"/><Relationship Id="rId62" Type="http://schemas.openxmlformats.org/officeDocument/2006/relationships/image" Target="../media/image70.emf"/><Relationship Id="rId70" Type="http://schemas.openxmlformats.org/officeDocument/2006/relationships/image" Target="../media/image78.emf"/><Relationship Id="rId75" Type="http://schemas.openxmlformats.org/officeDocument/2006/relationships/image" Target="../media/image83.wmf"/><Relationship Id="rId83" Type="http://schemas.openxmlformats.org/officeDocument/2006/relationships/image" Target="../media/image91.wmf"/><Relationship Id="rId88" Type="http://schemas.openxmlformats.org/officeDocument/2006/relationships/image" Target="../media/image96.wmf"/><Relationship Id="rId91" Type="http://schemas.openxmlformats.org/officeDocument/2006/relationships/image" Target="../media/image99.wmf"/><Relationship Id="rId96" Type="http://schemas.openxmlformats.org/officeDocument/2006/relationships/image" Target="../media/image104.wmf"/><Relationship Id="rId111" Type="http://schemas.openxmlformats.org/officeDocument/2006/relationships/image" Target="../media/image119.wmf"/><Relationship Id="rId132" Type="http://schemas.openxmlformats.org/officeDocument/2006/relationships/image" Target="../media/image140.wmf"/><Relationship Id="rId1" Type="http://schemas.openxmlformats.org/officeDocument/2006/relationships/image" Target="../media/image9.wmf"/><Relationship Id="rId6" Type="http://schemas.openxmlformats.org/officeDocument/2006/relationships/image" Target="../media/image14.wmf"/><Relationship Id="rId15" Type="http://schemas.openxmlformats.org/officeDocument/2006/relationships/image" Target="../media/image23.wmf"/><Relationship Id="rId23" Type="http://schemas.openxmlformats.org/officeDocument/2006/relationships/image" Target="../media/image31.wmf"/><Relationship Id="rId28" Type="http://schemas.openxmlformats.org/officeDocument/2006/relationships/image" Target="../media/image36.wmf"/><Relationship Id="rId36" Type="http://schemas.openxmlformats.org/officeDocument/2006/relationships/image" Target="../media/image44.emf"/><Relationship Id="rId49" Type="http://schemas.openxmlformats.org/officeDocument/2006/relationships/image" Target="../media/image57.wmf"/><Relationship Id="rId57" Type="http://schemas.openxmlformats.org/officeDocument/2006/relationships/image" Target="../media/image65.wmf"/><Relationship Id="rId106" Type="http://schemas.openxmlformats.org/officeDocument/2006/relationships/image" Target="../media/image114.wmf"/><Relationship Id="rId114" Type="http://schemas.openxmlformats.org/officeDocument/2006/relationships/image" Target="../media/image122.wmf"/><Relationship Id="rId119" Type="http://schemas.openxmlformats.org/officeDocument/2006/relationships/image" Target="../media/image127.wmf"/><Relationship Id="rId127" Type="http://schemas.openxmlformats.org/officeDocument/2006/relationships/image" Target="../media/image135.wmf"/><Relationship Id="rId10" Type="http://schemas.openxmlformats.org/officeDocument/2006/relationships/image" Target="../media/image18.wmf"/><Relationship Id="rId31" Type="http://schemas.openxmlformats.org/officeDocument/2006/relationships/image" Target="../media/image39.wmf"/><Relationship Id="rId44" Type="http://schemas.openxmlformats.org/officeDocument/2006/relationships/image" Target="../media/image52.wmf"/><Relationship Id="rId52" Type="http://schemas.openxmlformats.org/officeDocument/2006/relationships/image" Target="../media/image60.wmf"/><Relationship Id="rId60" Type="http://schemas.openxmlformats.org/officeDocument/2006/relationships/image" Target="../media/image68.emf"/><Relationship Id="rId65" Type="http://schemas.openxmlformats.org/officeDocument/2006/relationships/image" Target="../media/image73.emf"/><Relationship Id="rId73" Type="http://schemas.openxmlformats.org/officeDocument/2006/relationships/image" Target="../media/image81.wmf"/><Relationship Id="rId78" Type="http://schemas.openxmlformats.org/officeDocument/2006/relationships/image" Target="../media/image86.emf"/><Relationship Id="rId81" Type="http://schemas.openxmlformats.org/officeDocument/2006/relationships/image" Target="../media/image89.wmf"/><Relationship Id="rId86" Type="http://schemas.openxmlformats.org/officeDocument/2006/relationships/image" Target="../media/image94.wmf"/><Relationship Id="rId94" Type="http://schemas.openxmlformats.org/officeDocument/2006/relationships/image" Target="../media/image102.wmf"/><Relationship Id="rId99" Type="http://schemas.openxmlformats.org/officeDocument/2006/relationships/image" Target="../media/image107.wmf"/><Relationship Id="rId101" Type="http://schemas.openxmlformats.org/officeDocument/2006/relationships/image" Target="../media/image109.wmf"/><Relationship Id="rId122" Type="http://schemas.openxmlformats.org/officeDocument/2006/relationships/image" Target="../media/image130.wmf"/><Relationship Id="rId130" Type="http://schemas.openxmlformats.org/officeDocument/2006/relationships/image" Target="../media/image138.wmf"/><Relationship Id="rId135" Type="http://schemas.openxmlformats.org/officeDocument/2006/relationships/image" Target="../media/image143.wmf"/><Relationship Id="rId4" Type="http://schemas.openxmlformats.org/officeDocument/2006/relationships/image" Target="../media/image12.wmf"/><Relationship Id="rId9" Type="http://schemas.openxmlformats.org/officeDocument/2006/relationships/image" Target="../media/image17.wmf"/><Relationship Id="rId13" Type="http://schemas.openxmlformats.org/officeDocument/2006/relationships/image" Target="../media/image21.wmf"/><Relationship Id="rId18" Type="http://schemas.openxmlformats.org/officeDocument/2006/relationships/image" Target="../media/image26.wmf"/><Relationship Id="rId39" Type="http://schemas.openxmlformats.org/officeDocument/2006/relationships/image" Target="../media/image47.wmf"/><Relationship Id="rId109" Type="http://schemas.openxmlformats.org/officeDocument/2006/relationships/image" Target="../media/image117.wmf"/><Relationship Id="rId34" Type="http://schemas.openxmlformats.org/officeDocument/2006/relationships/image" Target="../media/image42.emf"/><Relationship Id="rId50" Type="http://schemas.openxmlformats.org/officeDocument/2006/relationships/image" Target="../media/image58.emf"/><Relationship Id="rId55" Type="http://schemas.openxmlformats.org/officeDocument/2006/relationships/image" Target="../media/image63.emf"/><Relationship Id="rId76" Type="http://schemas.openxmlformats.org/officeDocument/2006/relationships/image" Target="../media/image84.wmf"/><Relationship Id="rId97" Type="http://schemas.openxmlformats.org/officeDocument/2006/relationships/image" Target="../media/image105.wmf"/><Relationship Id="rId104" Type="http://schemas.openxmlformats.org/officeDocument/2006/relationships/image" Target="../media/image112.wmf"/><Relationship Id="rId120" Type="http://schemas.openxmlformats.org/officeDocument/2006/relationships/image" Target="../media/image128.wmf"/><Relationship Id="rId125" Type="http://schemas.openxmlformats.org/officeDocument/2006/relationships/image" Target="../media/image133.wmf"/><Relationship Id="rId7" Type="http://schemas.openxmlformats.org/officeDocument/2006/relationships/image" Target="../media/image15.wmf"/><Relationship Id="rId71" Type="http://schemas.openxmlformats.org/officeDocument/2006/relationships/image" Target="../media/image79.wmf"/><Relationship Id="rId92" Type="http://schemas.openxmlformats.org/officeDocument/2006/relationships/image" Target="../media/image100.wmf"/><Relationship Id="rId2" Type="http://schemas.openxmlformats.org/officeDocument/2006/relationships/image" Target="../media/image10.wmf"/><Relationship Id="rId29" Type="http://schemas.openxmlformats.org/officeDocument/2006/relationships/image" Target="../media/image37.wmf"/><Relationship Id="rId24" Type="http://schemas.openxmlformats.org/officeDocument/2006/relationships/image" Target="../media/image32.wmf"/><Relationship Id="rId40" Type="http://schemas.openxmlformats.org/officeDocument/2006/relationships/image" Target="../media/image48.emf"/><Relationship Id="rId45" Type="http://schemas.openxmlformats.org/officeDocument/2006/relationships/image" Target="../media/image53.wmf"/><Relationship Id="rId66" Type="http://schemas.openxmlformats.org/officeDocument/2006/relationships/image" Target="../media/image74.emf"/><Relationship Id="rId87" Type="http://schemas.openxmlformats.org/officeDocument/2006/relationships/image" Target="../media/image95.wmf"/><Relationship Id="rId110" Type="http://schemas.openxmlformats.org/officeDocument/2006/relationships/image" Target="../media/image118.wmf"/><Relationship Id="rId115" Type="http://schemas.openxmlformats.org/officeDocument/2006/relationships/image" Target="../media/image123.wmf"/><Relationship Id="rId131" Type="http://schemas.openxmlformats.org/officeDocument/2006/relationships/image" Target="../media/image139.wmf"/><Relationship Id="rId136" Type="http://schemas.openxmlformats.org/officeDocument/2006/relationships/image" Target="../media/image144.emf"/><Relationship Id="rId61" Type="http://schemas.openxmlformats.org/officeDocument/2006/relationships/image" Target="../media/image69.emf"/><Relationship Id="rId82" Type="http://schemas.openxmlformats.org/officeDocument/2006/relationships/image" Target="../media/image90.wmf"/><Relationship Id="rId19" Type="http://schemas.openxmlformats.org/officeDocument/2006/relationships/image" Target="../media/image27.emf"/><Relationship Id="rId14" Type="http://schemas.openxmlformats.org/officeDocument/2006/relationships/image" Target="../media/image22.wmf"/><Relationship Id="rId30" Type="http://schemas.openxmlformats.org/officeDocument/2006/relationships/image" Target="../media/image38.wmf"/><Relationship Id="rId35" Type="http://schemas.openxmlformats.org/officeDocument/2006/relationships/image" Target="../media/image43.emf"/><Relationship Id="rId56" Type="http://schemas.openxmlformats.org/officeDocument/2006/relationships/image" Target="../media/image64.wmf"/><Relationship Id="rId77" Type="http://schemas.openxmlformats.org/officeDocument/2006/relationships/image" Target="../media/image85.wmf"/><Relationship Id="rId100" Type="http://schemas.openxmlformats.org/officeDocument/2006/relationships/image" Target="../media/image108.wmf"/><Relationship Id="rId105" Type="http://schemas.openxmlformats.org/officeDocument/2006/relationships/image" Target="../media/image113.wmf"/><Relationship Id="rId126" Type="http://schemas.openxmlformats.org/officeDocument/2006/relationships/image" Target="../media/image134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48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257175</xdr:colOff>
      <xdr:row>180</xdr:row>
      <xdr:rowOff>209549</xdr:rowOff>
    </xdr:from>
    <xdr:to>
      <xdr:col>0</xdr:col>
      <xdr:colOff>628650</xdr:colOff>
      <xdr:row>182</xdr:row>
      <xdr:rowOff>180974</xdr:rowOff>
    </xdr:to>
    <xdr:pic>
      <xdr:nvPicPr>
        <xdr:cNvPr id="1582" name="Picture 558">
          <a:extLst>
            <a:ext uri="{FF2B5EF4-FFF2-40B4-BE49-F238E27FC236}">
              <a16:creationId xmlns="" xmlns:a16="http://schemas.microsoft.com/office/drawing/2014/main" id="{00000000-0008-0000-0100-00002E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57175" y="43453049"/>
          <a:ext cx="371475" cy="447675"/>
        </a:xfrm>
        <a:prstGeom prst="rect">
          <a:avLst/>
        </a:prstGeom>
        <a:noFill/>
      </xdr:spPr>
    </xdr:pic>
    <xdr:clientData/>
  </xdr:twoCellAnchor>
  <xdr:oneCellAnchor>
    <xdr:from>
      <xdr:col>10</xdr:col>
      <xdr:colOff>361950</xdr:colOff>
      <xdr:row>256</xdr:row>
      <xdr:rowOff>47625</xdr:rowOff>
    </xdr:from>
    <xdr:ext cx="184731" cy="264560"/>
    <xdr:sp macro="" textlink="">
      <xdr:nvSpPr>
        <xdr:cNvPr id="29" name="ZoneTexte 28">
          <a:extLst>
            <a:ext uri="{FF2B5EF4-FFF2-40B4-BE49-F238E27FC236}">
              <a16:creationId xmlns="" xmlns:a16="http://schemas.microsoft.com/office/drawing/2014/main" id="{00000000-0008-0000-0100-00001D000000}"/>
            </a:ext>
          </a:extLst>
        </xdr:cNvPr>
        <xdr:cNvSpPr txBox="1"/>
      </xdr:nvSpPr>
      <xdr:spPr>
        <a:xfrm>
          <a:off x="8534400" y="75142725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endParaRPr lang="fr-FR" sz="1100"/>
        </a:p>
      </xdr:txBody>
    </xdr:sp>
    <xdr:clientData/>
  </xdr:oneCellAnchor>
  <xdr:oneCellAnchor>
    <xdr:from>
      <xdr:col>2</xdr:col>
      <xdr:colOff>657224</xdr:colOff>
      <xdr:row>231</xdr:row>
      <xdr:rowOff>276225</xdr:rowOff>
    </xdr:from>
    <xdr:ext cx="685801" cy="390526"/>
    <xdr:sp macro="" textlink="">
      <xdr:nvSpPr>
        <xdr:cNvPr id="30" name="ZoneTexte 29">
          <a:extLst>
            <a:ext uri="{FF2B5EF4-FFF2-40B4-BE49-F238E27FC236}">
              <a16:creationId xmlns=""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2105024" y="56721375"/>
          <a:ext cx="685801" cy="39052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600">
              <a:latin typeface="UniversalMath1 BT" pitchFamily="18" charset="2"/>
            </a:rPr>
            <a:t>T</a:t>
          </a:r>
          <a:r>
            <a:rPr lang="fr-FR" sz="1100"/>
            <a:t>x,y   </a:t>
          </a:r>
          <a:r>
            <a:rPr lang="fr-FR" sz="1600"/>
            <a:t>=</a:t>
          </a:r>
        </a:p>
      </xdr:txBody>
    </xdr:sp>
    <xdr:clientData/>
  </xdr:oneCellAnchor>
  <xdr:twoCellAnchor>
    <xdr:from>
      <xdr:col>2</xdr:col>
      <xdr:colOff>485775</xdr:colOff>
      <xdr:row>250</xdr:row>
      <xdr:rowOff>171450</xdr:rowOff>
    </xdr:from>
    <xdr:to>
      <xdr:col>3</xdr:col>
      <xdr:colOff>57150</xdr:colOff>
      <xdr:row>250</xdr:row>
      <xdr:rowOff>171451</xdr:rowOff>
    </xdr:to>
    <xdr:cxnSp macro="">
      <xdr:nvCxnSpPr>
        <xdr:cNvPr id="35" name="Connecteur droit avec flèche 34">
          <a:extLst>
            <a:ext uri="{FF2B5EF4-FFF2-40B4-BE49-F238E27FC236}">
              <a16:creationId xmlns="" xmlns:a16="http://schemas.microsoft.com/office/drawing/2014/main" id="{00000000-0008-0000-0100-000023000000}"/>
            </a:ext>
          </a:extLst>
        </xdr:cNvPr>
        <xdr:cNvCxnSpPr/>
      </xdr:nvCxnSpPr>
      <xdr:spPr>
        <a:xfrm>
          <a:off x="2143125" y="74552175"/>
          <a:ext cx="219075" cy="1"/>
        </a:xfrm>
        <a:prstGeom prst="straightConnector1">
          <a:avLst/>
        </a:prstGeom>
        <a:ln>
          <a:tailEnd type="arrow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581025</xdr:colOff>
      <xdr:row>241</xdr:row>
      <xdr:rowOff>19050</xdr:rowOff>
    </xdr:from>
    <xdr:ext cx="2419350" cy="264560"/>
    <xdr:sp macro="" textlink="">
      <xdr:nvSpPr>
        <xdr:cNvPr id="13" name="ZoneTexte 12">
          <a:extLst>
            <a:ext uri="{FF2B5EF4-FFF2-40B4-BE49-F238E27FC236}">
              <a16:creationId xmlns="" xmlns:a16="http://schemas.microsoft.com/office/drawing/2014/main" id="{00000000-0008-0000-0100-00000D000000}"/>
            </a:ext>
          </a:extLst>
        </xdr:cNvPr>
        <xdr:cNvSpPr txBox="1"/>
      </xdr:nvSpPr>
      <xdr:spPr>
        <a:xfrm>
          <a:off x="581025" y="59074050"/>
          <a:ext cx="24193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Texp(y) = 1.3*T(y)empérique</a:t>
          </a:r>
        </a:p>
      </xdr:txBody>
    </xdr:sp>
    <xdr:clientData/>
  </xdr:oneCellAnchor>
  <xdr:oneCellAnchor>
    <xdr:from>
      <xdr:col>0</xdr:col>
      <xdr:colOff>571500</xdr:colOff>
      <xdr:row>240</xdr:row>
      <xdr:rowOff>38100</xdr:rowOff>
    </xdr:from>
    <xdr:ext cx="2390776" cy="264560"/>
    <xdr:sp macro="" textlink="">
      <xdr:nvSpPr>
        <xdr:cNvPr id="14" name="ZoneTexte 13">
          <a:extLst>
            <a:ext uri="{FF2B5EF4-FFF2-40B4-BE49-F238E27FC236}">
              <a16:creationId xmlns="" xmlns:a16="http://schemas.microsoft.com/office/drawing/2014/main" id="{00000000-0008-0000-0100-00000E000000}"/>
            </a:ext>
          </a:extLst>
        </xdr:cNvPr>
        <xdr:cNvSpPr txBox="1"/>
      </xdr:nvSpPr>
      <xdr:spPr>
        <a:xfrm>
          <a:off x="571500" y="58788300"/>
          <a:ext cx="239077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Texp(x) = 1.3*T(x)empérique</a:t>
          </a:r>
        </a:p>
      </xdr:txBody>
    </xdr:sp>
    <xdr:clientData/>
  </xdr:oneCellAnchor>
  <xdr:oneCellAnchor>
    <xdr:from>
      <xdr:col>3</xdr:col>
      <xdr:colOff>142875</xdr:colOff>
      <xdr:row>270</xdr:row>
      <xdr:rowOff>95250</xdr:rowOff>
    </xdr:from>
    <xdr:ext cx="657225" cy="264560"/>
    <xdr:sp macro="" textlink="">
      <xdr:nvSpPr>
        <xdr:cNvPr id="19" name="ZoneTexte 18">
          <a:extLst>
            <a:ext uri="{FF2B5EF4-FFF2-40B4-BE49-F238E27FC236}">
              <a16:creationId xmlns="" xmlns:a16="http://schemas.microsoft.com/office/drawing/2014/main" id="{00000000-0008-0000-0100-000013000000}"/>
            </a:ext>
          </a:extLst>
        </xdr:cNvPr>
        <xdr:cNvSpPr txBox="1"/>
      </xdr:nvSpPr>
      <xdr:spPr>
        <a:xfrm>
          <a:off x="2390775" y="67046475"/>
          <a:ext cx="65722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2.5Ƞ</a:t>
          </a:r>
        </a:p>
      </xdr:txBody>
    </xdr:sp>
    <xdr:clientData/>
  </xdr:oneCellAnchor>
  <xdr:oneCellAnchor>
    <xdr:from>
      <xdr:col>2</xdr:col>
      <xdr:colOff>685800</xdr:colOff>
      <xdr:row>271</xdr:row>
      <xdr:rowOff>142875</xdr:rowOff>
    </xdr:from>
    <xdr:ext cx="1847850" cy="264560"/>
    <xdr:sp macro="" textlink="">
      <xdr:nvSpPr>
        <xdr:cNvPr id="20" name="ZoneTexte 19">
          <a:extLst>
            <a:ext uri="{FF2B5EF4-FFF2-40B4-BE49-F238E27FC236}">
              <a16:creationId xmlns="" xmlns:a16="http://schemas.microsoft.com/office/drawing/2014/main" id="{00000000-0008-0000-0100-000014000000}"/>
            </a:ext>
          </a:extLst>
        </xdr:cNvPr>
        <xdr:cNvSpPr txBox="1"/>
      </xdr:nvSpPr>
      <xdr:spPr>
        <a:xfrm>
          <a:off x="2133600" y="67332225"/>
          <a:ext cx="184785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2.5Ƞ(T2/T)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2/3</a:t>
          </a:r>
        </a:p>
      </xdr:txBody>
    </xdr:sp>
    <xdr:clientData/>
  </xdr:oneCellAnchor>
  <xdr:oneCellAnchor>
    <xdr:from>
      <xdr:col>2</xdr:col>
      <xdr:colOff>714375</xdr:colOff>
      <xdr:row>272</xdr:row>
      <xdr:rowOff>219075</xdr:rowOff>
    </xdr:from>
    <xdr:ext cx="2124076" cy="264560"/>
    <xdr:sp macro="" textlink="">
      <xdr:nvSpPr>
        <xdr:cNvPr id="21" name="ZoneTexte 20">
          <a:extLst>
            <a:ext uri="{FF2B5EF4-FFF2-40B4-BE49-F238E27FC236}">
              <a16:creationId xmlns=""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2162175" y="67646550"/>
          <a:ext cx="2124076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2.5Ƞ(T2/3.0)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2/3</a:t>
          </a:r>
          <a:r>
            <a:rPr lang="fr-FR" sz="1400" baseline="0">
              <a:latin typeface="Times New Roman" pitchFamily="18" charset="0"/>
              <a:cs typeface="Times New Roman" pitchFamily="18" charset="0"/>
            </a:rPr>
            <a:t> *(3.0/T)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5/3</a:t>
          </a:r>
        </a:p>
      </xdr:txBody>
    </xdr:sp>
    <xdr:clientData/>
  </xdr:oneCellAnchor>
  <xdr:twoCellAnchor>
    <xdr:from>
      <xdr:col>2</xdr:col>
      <xdr:colOff>628650</xdr:colOff>
      <xdr:row>270</xdr:row>
      <xdr:rowOff>133350</xdr:rowOff>
    </xdr:from>
    <xdr:to>
      <xdr:col>3</xdr:col>
      <xdr:colOff>28575</xdr:colOff>
      <xdr:row>274</xdr:row>
      <xdr:rowOff>57150</xdr:rowOff>
    </xdr:to>
    <xdr:sp macro="" textlink="">
      <xdr:nvSpPr>
        <xdr:cNvPr id="23" name="Accolade ouvrante 22">
          <a:extLst>
            <a:ext uri="{FF2B5EF4-FFF2-40B4-BE49-F238E27FC236}">
              <a16:creationId xmlns="" xmlns:a16="http://schemas.microsoft.com/office/drawing/2014/main" id="{00000000-0008-0000-0100-000017000000}"/>
            </a:ext>
          </a:extLst>
        </xdr:cNvPr>
        <xdr:cNvSpPr/>
      </xdr:nvSpPr>
      <xdr:spPr>
        <a:xfrm>
          <a:off x="2076450" y="67084575"/>
          <a:ext cx="200025" cy="876300"/>
        </a:xfrm>
        <a:prstGeom prst="lef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fr-FR" sz="1100"/>
        </a:p>
      </xdr:txBody>
    </xdr:sp>
    <xdr:clientData/>
  </xdr:twoCellAnchor>
  <xdr:oneCellAnchor>
    <xdr:from>
      <xdr:col>0</xdr:col>
      <xdr:colOff>914400</xdr:colOff>
      <xdr:row>480</xdr:row>
      <xdr:rowOff>0</xdr:rowOff>
    </xdr:from>
    <xdr:ext cx="3048000" cy="264560"/>
    <xdr:sp macro="" textlink="">
      <xdr:nvSpPr>
        <xdr:cNvPr id="16" name="ZoneTexte 15">
          <a:extLst>
            <a:ext uri="{FF2B5EF4-FFF2-40B4-BE49-F238E27FC236}">
              <a16:creationId xmlns="" xmlns:a16="http://schemas.microsoft.com/office/drawing/2014/main" id="{00000000-0008-0000-0100-000010000000}"/>
            </a:ext>
          </a:extLst>
        </xdr:cNvPr>
        <xdr:cNvSpPr txBox="1"/>
      </xdr:nvSpPr>
      <xdr:spPr>
        <a:xfrm>
          <a:off x="914400" y="172383450"/>
          <a:ext cx="30480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fr-FR" sz="1400" b="1" baseline="-250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600075</xdr:colOff>
      <xdr:row>511</xdr:row>
      <xdr:rowOff>0</xdr:rowOff>
    </xdr:from>
    <xdr:ext cx="4419600" cy="264560"/>
    <xdr:sp macro="" textlink="">
      <xdr:nvSpPr>
        <xdr:cNvPr id="56" name="ZoneTexte 55">
          <a:extLst>
            <a:ext uri="{FF2B5EF4-FFF2-40B4-BE49-F238E27FC236}">
              <a16:creationId xmlns=""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600075" y="127911225"/>
          <a:ext cx="44196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el-GR" sz="1400" b="1">
              <a:latin typeface="Times New Roman" pitchFamily="18" charset="0"/>
              <a:cs typeface="Times New Roman" pitchFamily="18" charset="0"/>
            </a:rPr>
            <a:t>σ</a:t>
          </a:r>
          <a:r>
            <a:rPr lang="fr-FR" sz="1400" b="1">
              <a:latin typeface="Times New Roman" pitchFamily="18" charset="0"/>
              <a:cs typeface="Times New Roman" pitchFamily="18" charset="0"/>
            </a:rPr>
            <a:t>bc=Mser*y /I  ≤ </a:t>
          </a:r>
          <a:r>
            <a:rPr lang="el-GR" sz="1400" b="1">
              <a:latin typeface="Times New Roman" pitchFamily="18" charset="0"/>
              <a:cs typeface="Times New Roman" pitchFamily="18" charset="0"/>
            </a:rPr>
            <a:t>σ</a:t>
          </a:r>
          <a:r>
            <a:rPr lang="fr-FR" sz="1400" b="1">
              <a:latin typeface="Times New Roman" pitchFamily="18" charset="0"/>
              <a:cs typeface="Times New Roman" pitchFamily="18" charset="0"/>
            </a:rPr>
            <a:t>bc= 0.6xfc</a:t>
          </a:r>
          <a:r>
            <a:rPr lang="fr-FR" sz="1400" b="1" baseline="-25000">
              <a:latin typeface="Times New Roman" pitchFamily="18" charset="0"/>
              <a:cs typeface="Times New Roman" pitchFamily="18" charset="0"/>
            </a:rPr>
            <a:t>28</a:t>
          </a:r>
          <a:r>
            <a:rPr lang="fr-FR" sz="1400" b="1" baseline="0">
              <a:latin typeface="Times New Roman" pitchFamily="18" charset="0"/>
              <a:cs typeface="Times New Roman" pitchFamily="18" charset="0"/>
            </a:rPr>
            <a:t>=15 mpa</a:t>
          </a:r>
          <a:r>
            <a:rPr lang="fr-FR" sz="1400" b="1" baseline="-2500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oneCellAnchor>
  <xdr:twoCellAnchor>
    <xdr:from>
      <xdr:col>5</xdr:col>
      <xdr:colOff>161925</xdr:colOff>
      <xdr:row>502</xdr:row>
      <xdr:rowOff>133350</xdr:rowOff>
    </xdr:from>
    <xdr:to>
      <xdr:col>5</xdr:col>
      <xdr:colOff>347662</xdr:colOff>
      <xdr:row>502</xdr:row>
      <xdr:rowOff>152402</xdr:rowOff>
    </xdr:to>
    <xdr:cxnSp macro="">
      <xdr:nvCxnSpPr>
        <xdr:cNvPr id="57" name="Connecteur droit 56">
          <a:extLst>
            <a:ext uri="{FF2B5EF4-FFF2-40B4-BE49-F238E27FC236}">
              <a16:creationId xmlns=""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3952875" y="125663325"/>
          <a:ext cx="185737" cy="19052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0</xdr:col>
      <xdr:colOff>647700</xdr:colOff>
      <xdr:row>512</xdr:row>
      <xdr:rowOff>57150</xdr:rowOff>
    </xdr:from>
    <xdr:ext cx="3419475" cy="323850"/>
    <xdr:sp macro="" textlink="">
      <xdr:nvSpPr>
        <xdr:cNvPr id="61" name="ZoneTexte 60">
          <a:extLst>
            <a:ext uri="{FF2B5EF4-FFF2-40B4-BE49-F238E27FC236}">
              <a16:creationId xmlns="" xmlns:a16="http://schemas.microsoft.com/office/drawing/2014/main" id="{00000000-0008-0000-0100-00003D000000}"/>
            </a:ext>
          </a:extLst>
        </xdr:cNvPr>
        <xdr:cNvSpPr txBox="1"/>
      </xdr:nvSpPr>
      <xdr:spPr>
        <a:xfrm>
          <a:off x="647700" y="128206500"/>
          <a:ext cx="3419475" cy="32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b*y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2</a:t>
          </a:r>
          <a:r>
            <a:rPr lang="fr-FR" sz="1400">
              <a:latin typeface="Times New Roman" pitchFamily="18" charset="0"/>
              <a:cs typeface="Times New Roman" pitchFamily="18" charset="0"/>
            </a:rPr>
            <a:t>/2+15*A*y-15*A*d</a:t>
          </a:r>
          <a:r>
            <a:rPr lang="fr-FR" sz="1400" baseline="0">
              <a:latin typeface="Times New Roman" pitchFamily="18" charset="0"/>
              <a:cs typeface="Times New Roman" pitchFamily="18" charset="0"/>
            </a:rPr>
            <a:t> =0</a:t>
          </a:r>
          <a:endParaRPr lang="fr-FR" sz="1400">
            <a:latin typeface="Times New Roman" pitchFamily="18" charset="0"/>
            <a:cs typeface="Times New Roman" pitchFamily="18" charset="0"/>
          </a:endParaRPr>
        </a:p>
      </xdr:txBody>
    </xdr:sp>
    <xdr:clientData/>
  </xdr:oneCellAnchor>
  <xdr:oneCellAnchor>
    <xdr:from>
      <xdr:col>0</xdr:col>
      <xdr:colOff>638176</xdr:colOff>
      <xdr:row>513</xdr:row>
      <xdr:rowOff>114300</xdr:rowOff>
    </xdr:from>
    <xdr:ext cx="1981200" cy="323850"/>
    <xdr:sp macro="" textlink="">
      <xdr:nvSpPr>
        <xdr:cNvPr id="63" name="ZoneTexte 62">
          <a:extLst>
            <a:ext uri="{FF2B5EF4-FFF2-40B4-BE49-F238E27FC236}">
              <a16:creationId xmlns="" xmlns:a16="http://schemas.microsoft.com/office/drawing/2014/main" id="{00000000-0008-0000-0100-00003F000000}"/>
            </a:ext>
          </a:extLst>
        </xdr:cNvPr>
        <xdr:cNvSpPr txBox="1"/>
      </xdr:nvSpPr>
      <xdr:spPr>
        <a:xfrm>
          <a:off x="638176" y="128501775"/>
          <a:ext cx="1981200" cy="323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r>
            <a:rPr lang="fr-FR" sz="1400">
              <a:latin typeface="Times New Roman" pitchFamily="18" charset="0"/>
              <a:cs typeface="Times New Roman" pitchFamily="18" charset="0"/>
            </a:rPr>
            <a:t>I=b/3*y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3 </a:t>
          </a:r>
          <a:r>
            <a:rPr lang="fr-FR" sz="1400" baseline="0">
              <a:latin typeface="Times New Roman" pitchFamily="18" charset="0"/>
              <a:cs typeface="Times New Roman" pitchFamily="18" charset="0"/>
            </a:rPr>
            <a:t>+</a:t>
          </a:r>
          <a:r>
            <a:rPr lang="fr-FR" sz="1400">
              <a:latin typeface="Times New Roman" pitchFamily="18" charset="0"/>
              <a:cs typeface="Times New Roman" pitchFamily="18" charset="0"/>
            </a:rPr>
            <a:t>15*A*(d-y)</a:t>
          </a:r>
          <a:r>
            <a:rPr lang="fr-FR" sz="1400" baseline="30000">
              <a:latin typeface="Times New Roman" pitchFamily="18" charset="0"/>
              <a:cs typeface="Times New Roman" pitchFamily="18" charset="0"/>
            </a:rPr>
            <a:t>2</a:t>
          </a:r>
          <a:r>
            <a:rPr lang="fr-FR" sz="1400" baseline="0">
              <a:latin typeface="Times New Roman" pitchFamily="18" charset="0"/>
              <a:cs typeface="Times New Roman" pitchFamily="18" charset="0"/>
            </a:rPr>
            <a:t> </a:t>
          </a:r>
        </a:p>
      </xdr:txBody>
    </xdr:sp>
    <xdr:clientData/>
  </xdr:oneCellAnchor>
  <xdr:twoCellAnchor>
    <xdr:from>
      <xdr:col>6</xdr:col>
      <xdr:colOff>238126</xdr:colOff>
      <xdr:row>524</xdr:row>
      <xdr:rowOff>152400</xdr:rowOff>
    </xdr:from>
    <xdr:to>
      <xdr:col>6</xdr:col>
      <xdr:colOff>523875</xdr:colOff>
      <xdr:row>524</xdr:row>
      <xdr:rowOff>152400</xdr:rowOff>
    </xdr:to>
    <xdr:cxnSp macro="">
      <xdr:nvCxnSpPr>
        <xdr:cNvPr id="64" name="Connecteur droit 63">
          <a:extLst>
            <a:ext uri="{FF2B5EF4-FFF2-40B4-BE49-F238E27FC236}">
              <a16:creationId xmlns="" xmlns:a16="http://schemas.microsoft.com/office/drawing/2014/main" id="{00000000-0008-0000-0100-000040000000}"/>
            </a:ext>
          </a:extLst>
        </xdr:cNvPr>
        <xdr:cNvCxnSpPr/>
      </xdr:nvCxnSpPr>
      <xdr:spPr>
        <a:xfrm flipH="1">
          <a:off x="4791076" y="131159250"/>
          <a:ext cx="285749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38100</xdr:colOff>
      <xdr:row>536</xdr:row>
      <xdr:rowOff>123825</xdr:rowOff>
    </xdr:from>
    <xdr:to>
      <xdr:col>4</xdr:col>
      <xdr:colOff>304800</xdr:colOff>
      <xdr:row>536</xdr:row>
      <xdr:rowOff>133350</xdr:rowOff>
    </xdr:to>
    <xdr:cxnSp macro="">
      <xdr:nvCxnSpPr>
        <xdr:cNvPr id="66" name="Connecteur droit avec flèche 65">
          <a:extLst>
            <a:ext uri="{FF2B5EF4-FFF2-40B4-BE49-F238E27FC236}">
              <a16:creationId xmlns="" xmlns:a16="http://schemas.microsoft.com/office/drawing/2014/main" id="{00000000-0008-0000-0100-000042000000}"/>
            </a:ext>
          </a:extLst>
        </xdr:cNvPr>
        <xdr:cNvCxnSpPr/>
      </xdr:nvCxnSpPr>
      <xdr:spPr>
        <a:xfrm>
          <a:off x="2286000" y="134007225"/>
          <a:ext cx="1009650" cy="9525"/>
        </a:xfrm>
        <a:prstGeom prst="straightConnector1">
          <a:avLst/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</xdr:colOff>
      <xdr:row>535</xdr:row>
      <xdr:rowOff>161925</xdr:rowOff>
    </xdr:from>
    <xdr:to>
      <xdr:col>4</xdr:col>
      <xdr:colOff>333375</xdr:colOff>
      <xdr:row>535</xdr:row>
      <xdr:rowOff>171450</xdr:rowOff>
    </xdr:to>
    <xdr:cxnSp macro="">
      <xdr:nvCxnSpPr>
        <xdr:cNvPr id="67" name="Connecteur droit avec flèche 66">
          <a:extLst>
            <a:ext uri="{FF2B5EF4-FFF2-40B4-BE49-F238E27FC236}">
              <a16:creationId xmlns="" xmlns:a16="http://schemas.microsoft.com/office/drawing/2014/main" id="{00000000-0008-0000-0100-000043000000}"/>
            </a:ext>
          </a:extLst>
        </xdr:cNvPr>
        <xdr:cNvCxnSpPr/>
      </xdr:nvCxnSpPr>
      <xdr:spPr>
        <a:xfrm>
          <a:off x="2314575" y="133797675"/>
          <a:ext cx="1009650" cy="9525"/>
        </a:xfrm>
        <a:prstGeom prst="straightConnector1">
          <a:avLst/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66675</xdr:colOff>
      <xdr:row>534</xdr:row>
      <xdr:rowOff>142875</xdr:rowOff>
    </xdr:from>
    <xdr:to>
      <xdr:col>4</xdr:col>
      <xdr:colOff>333375</xdr:colOff>
      <xdr:row>534</xdr:row>
      <xdr:rowOff>152400</xdr:rowOff>
    </xdr:to>
    <xdr:cxnSp macro="">
      <xdr:nvCxnSpPr>
        <xdr:cNvPr id="68" name="Connecteur droit avec flèche 67">
          <a:extLst>
            <a:ext uri="{FF2B5EF4-FFF2-40B4-BE49-F238E27FC236}">
              <a16:creationId xmlns="" xmlns:a16="http://schemas.microsoft.com/office/drawing/2014/main" id="{00000000-0008-0000-0100-000044000000}"/>
            </a:ext>
          </a:extLst>
        </xdr:cNvPr>
        <xdr:cNvCxnSpPr/>
      </xdr:nvCxnSpPr>
      <xdr:spPr>
        <a:xfrm>
          <a:off x="2314575" y="133530975"/>
          <a:ext cx="1009650" cy="9525"/>
        </a:xfrm>
        <a:prstGeom prst="straightConnector1">
          <a:avLst/>
        </a:prstGeom>
        <a:ln>
          <a:tailEnd type="arrow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400050</xdr:colOff>
      <xdr:row>49</xdr:row>
      <xdr:rowOff>76200</xdr:rowOff>
    </xdr:from>
    <xdr:to>
      <xdr:col>6</xdr:col>
      <xdr:colOff>581025</xdr:colOff>
      <xdr:row>51</xdr:row>
      <xdr:rowOff>104775</xdr:rowOff>
    </xdr:to>
    <xdr:pic>
      <xdr:nvPicPr>
        <xdr:cNvPr id="1049" name="Picture 25">
          <a:extLst>
            <a:ext uri="{FF2B5EF4-FFF2-40B4-BE49-F238E27FC236}">
              <a16:creationId xmlns="" xmlns:a16="http://schemas.microsoft.com/office/drawing/2014/main" id="{00000000-0008-0000-01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06900"/>
          <a:ext cx="3371850" cy="5048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390525</xdr:colOff>
      <xdr:row>198</xdr:row>
      <xdr:rowOff>104775</xdr:rowOff>
    </xdr:from>
    <xdr:to>
      <xdr:col>1</xdr:col>
      <xdr:colOff>171450</xdr:colOff>
      <xdr:row>200</xdr:row>
      <xdr:rowOff>114300</xdr:rowOff>
    </xdr:to>
    <xdr:sp macro="" textlink="">
      <xdr:nvSpPr>
        <xdr:cNvPr id="1602" name="AutoShape 578">
          <a:extLst>
            <a:ext uri="{FF2B5EF4-FFF2-40B4-BE49-F238E27FC236}">
              <a16:creationId xmlns="" xmlns:a16="http://schemas.microsoft.com/office/drawing/2014/main" id="{00000000-0008-0000-0100-000042060000}"/>
            </a:ext>
          </a:extLst>
        </xdr:cNvPr>
        <xdr:cNvSpPr>
          <a:spLocks noChangeAspect="1" noChangeArrowheads="1"/>
        </xdr:cNvSpPr>
      </xdr:nvSpPr>
      <xdr:spPr bwMode="auto">
        <a:xfrm>
          <a:off x="390525" y="67313175"/>
          <a:ext cx="400050" cy="5238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419100</xdr:colOff>
      <xdr:row>227</xdr:row>
      <xdr:rowOff>57150</xdr:rowOff>
    </xdr:from>
    <xdr:to>
      <xdr:col>3</xdr:col>
      <xdr:colOff>295275</xdr:colOff>
      <xdr:row>229</xdr:row>
      <xdr:rowOff>28575</xdr:rowOff>
    </xdr:to>
    <xdr:pic>
      <xdr:nvPicPr>
        <xdr:cNvPr id="1618" name="Picture 594">
          <a:extLst>
            <a:ext uri="{FF2B5EF4-FFF2-40B4-BE49-F238E27FC236}">
              <a16:creationId xmlns="" xmlns:a16="http://schemas.microsoft.com/office/drawing/2014/main" id="{00000000-0008-0000-0100-000052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55435500"/>
          <a:ext cx="2124075" cy="4762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409575</xdr:colOff>
      <xdr:row>230</xdr:row>
      <xdr:rowOff>9525</xdr:rowOff>
    </xdr:from>
    <xdr:to>
      <xdr:col>3</xdr:col>
      <xdr:colOff>581025</xdr:colOff>
      <xdr:row>231</xdr:row>
      <xdr:rowOff>57150</xdr:rowOff>
    </xdr:to>
    <xdr:pic>
      <xdr:nvPicPr>
        <xdr:cNvPr id="1621" name="Picture 597">
          <a:extLst>
            <a:ext uri="{FF2B5EF4-FFF2-40B4-BE49-F238E27FC236}">
              <a16:creationId xmlns="" xmlns:a16="http://schemas.microsoft.com/office/drawing/2014/main" id="{00000000-0008-0000-0100-000055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56168925"/>
          <a:ext cx="971550" cy="33337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381000</xdr:colOff>
      <xdr:row>231</xdr:row>
      <xdr:rowOff>9525</xdr:rowOff>
    </xdr:from>
    <xdr:to>
      <xdr:col>3</xdr:col>
      <xdr:colOff>495300</xdr:colOff>
      <xdr:row>232</xdr:row>
      <xdr:rowOff>47625</xdr:rowOff>
    </xdr:to>
    <xdr:pic>
      <xdr:nvPicPr>
        <xdr:cNvPr id="1622" name="Picture 598">
          <a:extLst>
            <a:ext uri="{FF2B5EF4-FFF2-40B4-BE49-F238E27FC236}">
              <a16:creationId xmlns="" xmlns:a16="http://schemas.microsoft.com/office/drawing/2014/main" id="{00000000-0008-0000-0100-000056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56454675"/>
          <a:ext cx="914400" cy="3238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0</xdr:colOff>
      <xdr:row>240</xdr:row>
      <xdr:rowOff>295275</xdr:rowOff>
    </xdr:from>
    <xdr:to>
      <xdr:col>4</xdr:col>
      <xdr:colOff>390525</xdr:colOff>
      <xdr:row>241</xdr:row>
      <xdr:rowOff>238125</xdr:rowOff>
    </xdr:to>
    <xdr:pic>
      <xdr:nvPicPr>
        <xdr:cNvPr id="1623" name="Picture 599">
          <a:extLst>
            <a:ext uri="{FF2B5EF4-FFF2-40B4-BE49-F238E27FC236}">
              <a16:creationId xmlns="" xmlns:a16="http://schemas.microsoft.com/office/drawing/2014/main" id="{00000000-0008-0000-0100-000057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90850" y="59045475"/>
          <a:ext cx="390525" cy="247650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476250</xdr:colOff>
      <xdr:row>261</xdr:row>
      <xdr:rowOff>57150</xdr:rowOff>
    </xdr:from>
    <xdr:to>
      <xdr:col>5</xdr:col>
      <xdr:colOff>190500</xdr:colOff>
      <xdr:row>262</xdr:row>
      <xdr:rowOff>28575</xdr:rowOff>
    </xdr:to>
    <xdr:pic>
      <xdr:nvPicPr>
        <xdr:cNvPr id="1629" name="Picture 605">
          <a:extLst>
            <a:ext uri="{FF2B5EF4-FFF2-40B4-BE49-F238E27FC236}">
              <a16:creationId xmlns="" xmlns:a16="http://schemas.microsoft.com/office/drawing/2014/main" id="{00000000-0008-0000-0100-00005D06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0925" y="77381100"/>
          <a:ext cx="619125" cy="2381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3</xdr:col>
      <xdr:colOff>304801</xdr:colOff>
      <xdr:row>196</xdr:row>
      <xdr:rowOff>66676</xdr:rowOff>
    </xdr:from>
    <xdr:ext cx="1143000" cy="228600"/>
    <xdr:sp macro="" textlink="">
      <xdr:nvSpPr>
        <xdr:cNvPr id="289" name="ZoneTexte 288">
          <a:extLst>
            <a:ext uri="{FF2B5EF4-FFF2-40B4-BE49-F238E27FC236}">
              <a16:creationId xmlns="" xmlns:a16="http://schemas.microsoft.com/office/drawing/2014/main" id="{00000000-0008-0000-0100-000021010000}"/>
            </a:ext>
          </a:extLst>
        </xdr:cNvPr>
        <xdr:cNvSpPr txBox="1"/>
      </xdr:nvSpPr>
      <xdr:spPr>
        <a:xfrm>
          <a:off x="2505076" y="47558326"/>
          <a:ext cx="1143000" cy="2286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noAutofit/>
        </a:bodyPr>
        <a:lstStyle/>
        <a:p>
          <a:r>
            <a:rPr lang="fr-FR" sz="1400" b="1" i="0">
              <a:latin typeface="Cambria Math" panose="02040503050406030204" pitchFamily="18" charset="0"/>
              <a:ea typeface="Cambria Math" panose="02040503050406030204" pitchFamily="18" charset="0"/>
            </a:rPr>
            <a:t>𝝀=√𝟏𝟐∗𝑳𝒇/𝒉</a:t>
          </a:r>
          <a:endParaRPr lang="fr-FR" sz="1400" b="1"/>
        </a:p>
      </xdr:txBody>
    </xdr:sp>
    <xdr:clientData/>
  </xdr:oneCellAnchor>
  <xdr:twoCellAnchor>
    <xdr:from>
      <xdr:col>6</xdr:col>
      <xdr:colOff>333375</xdr:colOff>
      <xdr:row>414</xdr:row>
      <xdr:rowOff>0</xdr:rowOff>
    </xdr:from>
    <xdr:to>
      <xdr:col>7</xdr:col>
      <xdr:colOff>781050</xdr:colOff>
      <xdr:row>415</xdr:row>
      <xdr:rowOff>0</xdr:rowOff>
    </xdr:to>
    <xdr:pic>
      <xdr:nvPicPr>
        <xdr:cNvPr id="310" name="Picture 461">
          <a:extLst>
            <a:ext uri="{FF2B5EF4-FFF2-40B4-BE49-F238E27FC236}">
              <a16:creationId xmlns="" xmlns:a16="http://schemas.microsoft.com/office/drawing/2014/main" id="{00000000-0008-0000-01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4886325" y="102508050"/>
          <a:ext cx="1200150" cy="238125"/>
        </a:xfrm>
        <a:prstGeom prst="rect">
          <a:avLst/>
        </a:prstGeom>
        <a:noFill/>
      </xdr:spPr>
    </xdr:pic>
    <xdr:clientData/>
  </xdr:twoCellAnchor>
  <xdr:twoCellAnchor>
    <xdr:from>
      <xdr:col>4</xdr:col>
      <xdr:colOff>0</xdr:colOff>
      <xdr:row>509</xdr:row>
      <xdr:rowOff>228600</xdr:rowOff>
    </xdr:from>
    <xdr:to>
      <xdr:col>9</xdr:col>
      <xdr:colOff>82370</xdr:colOff>
      <xdr:row>511</xdr:row>
      <xdr:rowOff>16910</xdr:rowOff>
    </xdr:to>
    <xdr:sp macro="" textlink="">
      <xdr:nvSpPr>
        <xdr:cNvPr id="2" name="Object 457">
          <a:extLst>
            <a:ext uri="{63B3BB69-23CF-44E3-9099-C40C66FF867C}">
              <a14:compatExt xmlns="" xmlns:a14="http://schemas.microsoft.com/office/drawing/2010/main" spid="_x0000_s1481"/>
            </a:ex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990850" y="127663575"/>
          <a:ext cx="3768545" cy="264560"/>
        </a:xfrm>
        <a:prstGeom prst="rect">
          <a:avLst/>
        </a:prstGeom>
      </xdr:spPr>
      <xdr:txBody>
        <a:bodyPr vertOverflow="clip" horzOverflow="clip" wrap="none">
          <a:spAutoFit/>
        </a:bodyPr>
        <a:lstStyle/>
        <a:p>
          <a:r>
            <a:rPr lang="fr-FR" i="0">
              <a:solidFill>
                <a:srgbClr val="000000"/>
              </a:solidFill>
              <a:latin typeface="Cambria Math" panose="02040503050406030204" pitchFamily="18" charset="0"/>
            </a:rPr>
            <a:t>¯(𝜏_𝑢 )=𝑀𝑖𝑛(0.13*𝑓_𝑐28;4𝑀𝑃𝑎)→𝑓𝑖𝑠𝑠𝑢𝑟𝑎𝑡𝑖𝑜𝑛.𝑝𝑟é𝑗𝑢𝑑𝑖𝑐𝑖𝑎𝑏𝑙𝑒</a:t>
          </a:r>
          <a:endParaRPr lang="fr-FR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742950</xdr:colOff>
      <xdr:row>16</xdr:row>
      <xdr:rowOff>0</xdr:rowOff>
    </xdr:from>
    <xdr:ext cx="4286250" cy="2133600"/>
    <xdr:graphicFrame macro="">
      <xdr:nvGraphicFramePr>
        <xdr:cNvPr id="3" name="Chart 2">
          <a:extLst>
            <a:ext uri="{FF2B5EF4-FFF2-40B4-BE49-F238E27FC236}">
              <a16:creationId xmlns=""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oneCellAnchor>
  <xdr:oneCellAnchor>
    <xdr:from>
      <xdr:col>11</xdr:col>
      <xdr:colOff>9525</xdr:colOff>
      <xdr:row>28</xdr:row>
      <xdr:rowOff>95250</xdr:rowOff>
    </xdr:from>
    <xdr:ext cx="4286250" cy="2133600"/>
    <xdr:graphicFrame macro="">
      <xdr:nvGraphicFramePr>
        <xdr:cNvPr id="4" name="Chart 2">
          <a:extLst>
            <a:ext uri="{FF2B5EF4-FFF2-40B4-BE49-F238E27FC236}">
              <a16:creationId xmlns="" xmlns:a16="http://schemas.microsoft.com/office/drawing/2014/main" id="{00000000-0008-0000-0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 fLocksWithSheet="0"/>
  </xdr:oneCellAnchor>
  <xdr:oneCellAnchor>
    <xdr:from>
      <xdr:col>10</xdr:col>
      <xdr:colOff>752475</xdr:colOff>
      <xdr:row>4</xdr:row>
      <xdr:rowOff>0</xdr:rowOff>
    </xdr:from>
    <xdr:ext cx="4286250" cy="2266950"/>
    <xdr:graphicFrame macro="">
      <xdr:nvGraphicFramePr>
        <xdr:cNvPr id="5" name="Chart 2">
          <a:extLst>
            <a:ext uri="{FF2B5EF4-FFF2-40B4-BE49-F238E27FC236}">
              <a16:creationId xmlns="" xmlns:a16="http://schemas.microsoft.com/office/drawing/2014/main" id="{00000000-0008-0000-03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76052</xdr:colOff>
      <xdr:row>7</xdr:row>
      <xdr:rowOff>227893</xdr:rowOff>
    </xdr:from>
    <xdr:to>
      <xdr:col>13</xdr:col>
      <xdr:colOff>485110</xdr:colOff>
      <xdr:row>24</xdr:row>
      <xdr:rowOff>101054</xdr:rowOff>
    </xdr:to>
    <xdr:sp macro="" textlink="">
      <xdr:nvSpPr>
        <xdr:cNvPr id="2" name="rect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SpPr/>
      </xdr:nvSpPr>
      <xdr:spPr>
        <a:xfrm>
          <a:off x="10420202" y="1485193"/>
          <a:ext cx="1247258" cy="2378236"/>
        </a:xfrm>
        <a:prstGeom prst="rect">
          <a:avLst/>
        </a:prstGeom>
        <a:solidFill>
          <a:srgbClr val="4F81BD"/>
        </a:solidFill>
        <a:ln w="9525" cap="flat" cmpd="sng">
          <a:solidFill>
            <a:srgbClr val="4F81B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66453</xdr:colOff>
      <xdr:row>16</xdr:row>
      <xdr:rowOff>164455</xdr:rowOff>
    </xdr:from>
    <xdr:to>
      <xdr:col>13</xdr:col>
      <xdr:colOff>494709</xdr:colOff>
      <xdr:row>16</xdr:row>
      <xdr:rowOff>164455</xdr:rowOff>
    </xdr:to>
    <xdr:sp macro="" textlink="">
      <xdr:nvSpPr>
        <xdr:cNvPr id="3" name="line">
          <a:extLst>
            <a:ext uri="{FF2B5EF4-FFF2-40B4-BE49-F238E27FC236}">
              <a16:creationId xmlns="" xmlns:a16="http://schemas.microsoft.com/office/drawing/2014/main" id="{00000000-0008-0000-0500-000003000000}"/>
            </a:ext>
          </a:extLst>
        </xdr:cNvPr>
        <xdr:cNvSpPr/>
      </xdr:nvSpPr>
      <xdr:spPr>
        <a:xfrm>
          <a:off x="10410603" y="3507730"/>
          <a:ext cx="1266456" cy="0"/>
        </a:xfrm>
        <a:prstGeom prst="line">
          <a:avLst/>
        </a:prstGeom>
        <a:noFill/>
        <a:ln w="9525" cap="flat" cmpd="sng">
          <a:solidFill>
            <a:srgbClr val="BF4F4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76052</xdr:colOff>
      <xdr:row>10</xdr:row>
      <xdr:rowOff>177663</xdr:rowOff>
    </xdr:from>
    <xdr:to>
      <xdr:col>13</xdr:col>
      <xdr:colOff>504308</xdr:colOff>
      <xdr:row>10</xdr:row>
      <xdr:rowOff>177663</xdr:rowOff>
    </xdr:to>
    <xdr:sp macro="" textlink="">
      <xdr:nvSpPr>
        <xdr:cNvPr id="5" name="line">
          <a:extLst>
            <a:ext uri="{FF2B5EF4-FFF2-40B4-BE49-F238E27FC236}">
              <a16:creationId xmlns="" xmlns:a16="http://schemas.microsoft.com/office/drawing/2014/main" id="{00000000-0008-0000-0500-000005000000}"/>
            </a:ext>
          </a:extLst>
        </xdr:cNvPr>
        <xdr:cNvSpPr/>
      </xdr:nvSpPr>
      <xdr:spPr>
        <a:xfrm>
          <a:off x="10420202" y="2149338"/>
          <a:ext cx="1266456" cy="0"/>
        </a:xfrm>
        <a:prstGeom prst="line">
          <a:avLst/>
        </a:prstGeom>
        <a:noFill/>
        <a:ln w="9525" cap="flat" cmpd="sng">
          <a:solidFill>
            <a:srgbClr val="BF4F4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12</xdr:col>
      <xdr:colOff>66453</xdr:colOff>
      <xdr:row>9</xdr:row>
      <xdr:rowOff>63251</xdr:rowOff>
    </xdr:from>
    <xdr:to>
      <xdr:col>13</xdr:col>
      <xdr:colOff>494709</xdr:colOff>
      <xdr:row>9</xdr:row>
      <xdr:rowOff>63251</xdr:rowOff>
    </xdr:to>
    <xdr:sp macro="" textlink="">
      <xdr:nvSpPr>
        <xdr:cNvPr id="6" name="line">
          <a:extLst>
            <a:ext uri="{FF2B5EF4-FFF2-40B4-BE49-F238E27FC236}">
              <a16:creationId xmlns="" xmlns:a16="http://schemas.microsoft.com/office/drawing/2014/main" id="{00000000-0008-0000-0500-000006000000}"/>
            </a:ext>
          </a:extLst>
        </xdr:cNvPr>
        <xdr:cNvSpPr/>
      </xdr:nvSpPr>
      <xdr:spPr>
        <a:xfrm>
          <a:off x="10410603" y="1796801"/>
          <a:ext cx="1266456" cy="0"/>
        </a:xfrm>
        <a:prstGeom prst="line">
          <a:avLst/>
        </a:prstGeom>
        <a:noFill/>
        <a:ln w="9525" cap="flat" cmpd="sng">
          <a:solidFill>
            <a:srgbClr val="BF4F4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11</xdr:col>
      <xdr:colOff>428551</xdr:colOff>
      <xdr:row>16</xdr:row>
      <xdr:rowOff>158055</xdr:rowOff>
    </xdr:from>
    <xdr:to>
      <xdr:col>11</xdr:col>
      <xdr:colOff>751958</xdr:colOff>
      <xdr:row>16</xdr:row>
      <xdr:rowOff>158055</xdr:rowOff>
    </xdr:to>
    <xdr:cxnSp macro="">
      <xdr:nvCxnSpPr>
        <xdr:cNvPr id="7" name="straightConnector1">
          <a:extLst>
            <a:ext uri="{FF2B5EF4-FFF2-40B4-BE49-F238E27FC236}">
              <a16:creationId xmlns="" xmlns:a16="http://schemas.microsoft.com/office/drawing/2014/main" id="{00000000-0008-0000-0500-000007000000}"/>
            </a:ext>
          </a:extLst>
        </xdr:cNvPr>
        <xdr:cNvCxnSpPr/>
      </xdr:nvCxnSpPr>
      <xdr:spPr>
        <a:xfrm>
          <a:off x="9924976" y="3777555"/>
          <a:ext cx="323407" cy="0"/>
        </a:xfrm>
        <a:prstGeom prst="straightConnector1">
          <a:avLst/>
        </a:prstGeom>
        <a:noFill/>
        <a:ln w="9525" cap="flat" cmpd="sng">
          <a:solidFill>
            <a:srgbClr val="BF4F4D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13</xdr:col>
      <xdr:colOff>457052</xdr:colOff>
      <xdr:row>24</xdr:row>
      <xdr:rowOff>37504</xdr:rowOff>
    </xdr:from>
    <xdr:to>
      <xdr:col>13</xdr:col>
      <xdr:colOff>542703</xdr:colOff>
      <xdr:row>24</xdr:row>
      <xdr:rowOff>177105</xdr:rowOff>
    </xdr:to>
    <xdr:sp macro="" textlink="">
      <xdr:nvSpPr>
        <xdr:cNvPr id="9" name="ellipse">
          <a:extLst>
            <a:ext uri="{FF2B5EF4-FFF2-40B4-BE49-F238E27FC236}">
              <a16:creationId xmlns="" xmlns:a16="http://schemas.microsoft.com/office/drawing/2014/main" id="{00000000-0008-0000-0500-000009000000}"/>
            </a:ext>
          </a:extLst>
        </xdr:cNvPr>
        <xdr:cNvSpPr/>
      </xdr:nvSpPr>
      <xdr:spPr>
        <a:xfrm>
          <a:off x="11639402" y="3799879"/>
          <a:ext cx="85651" cy="139601"/>
        </a:xfrm>
        <a:prstGeom prst="ellipse">
          <a:avLst/>
        </a:prstGeom>
        <a:solidFill>
          <a:srgbClr val="BF4F4D"/>
        </a:solidFill>
        <a:ln w="9525" cap="flat" cmpd="sng">
          <a:solidFill>
            <a:srgbClr val="BF4F4D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/>
        <a:p>
          <a:pPr algn="l"/>
          <a:endParaRPr/>
        </a:p>
      </xdr:txBody>
    </xdr:sp>
    <xdr:clientData/>
  </xdr:twoCellAnchor>
  <xdr:twoCellAnchor>
    <xdr:from>
      <xdr:col>10</xdr:col>
      <xdr:colOff>437854</xdr:colOff>
      <xdr:row>9</xdr:row>
      <xdr:rowOff>75344</xdr:rowOff>
    </xdr:from>
    <xdr:to>
      <xdr:col>12</xdr:col>
      <xdr:colOff>56854</xdr:colOff>
      <xdr:row>9</xdr:row>
      <xdr:rowOff>101389</xdr:rowOff>
    </xdr:to>
    <xdr:cxnSp macro="">
      <xdr:nvCxnSpPr>
        <xdr:cNvPr id="10" name="straightConnector1">
          <a:extLst>
            <a:ext uri="{FF2B5EF4-FFF2-40B4-BE49-F238E27FC236}">
              <a16:creationId xmlns="" xmlns:a16="http://schemas.microsoft.com/office/drawing/2014/main" id="{00000000-0008-0000-0500-00000A000000}"/>
            </a:ext>
          </a:extLst>
        </xdr:cNvPr>
        <xdr:cNvCxnSpPr/>
      </xdr:nvCxnSpPr>
      <xdr:spPr>
        <a:xfrm flipV="1">
          <a:off x="9105604" y="1808894"/>
          <a:ext cx="1295400" cy="26045"/>
        </a:xfrm>
        <a:prstGeom prst="straightConnector1">
          <a:avLst/>
        </a:prstGeom>
        <a:noFill/>
        <a:ln w="9525" cap="flat" cmpd="sng">
          <a:solidFill>
            <a:srgbClr val="BF4F4D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</xdr:col>
      <xdr:colOff>132906</xdr:colOff>
      <xdr:row>8</xdr:row>
      <xdr:rowOff>12092</xdr:rowOff>
    </xdr:from>
    <xdr:to>
      <xdr:col>12</xdr:col>
      <xdr:colOff>66453</xdr:colOff>
      <xdr:row>8</xdr:row>
      <xdr:rowOff>37207</xdr:rowOff>
    </xdr:to>
    <xdr:cxnSp macro="">
      <xdr:nvCxnSpPr>
        <xdr:cNvPr id="11" name="straightConnector1">
          <a:extLst>
            <a:ext uri="{FF2B5EF4-FFF2-40B4-BE49-F238E27FC236}">
              <a16:creationId xmlns="" xmlns:a16="http://schemas.microsoft.com/office/drawing/2014/main" id="{00000000-0008-0000-0500-00000B000000}"/>
            </a:ext>
          </a:extLst>
        </xdr:cNvPr>
        <xdr:cNvCxnSpPr/>
      </xdr:nvCxnSpPr>
      <xdr:spPr>
        <a:xfrm flipV="1">
          <a:off x="8800656" y="1507517"/>
          <a:ext cx="1609947" cy="25115"/>
        </a:xfrm>
        <a:prstGeom prst="straightConnector1">
          <a:avLst/>
        </a:prstGeom>
        <a:noFill/>
        <a:ln w="9525" cap="flat" cmpd="sng">
          <a:solidFill>
            <a:srgbClr val="BF4F4D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13</xdr:col>
      <xdr:colOff>513907</xdr:colOff>
      <xdr:row>9</xdr:row>
      <xdr:rowOff>37207</xdr:rowOff>
    </xdr:from>
    <xdr:to>
      <xdr:col>14</xdr:col>
      <xdr:colOff>237755</xdr:colOff>
      <xdr:row>9</xdr:row>
      <xdr:rowOff>37207</xdr:rowOff>
    </xdr:to>
    <xdr:cxnSp macro="">
      <xdr:nvCxnSpPr>
        <xdr:cNvPr id="12" name="straightConnector1">
          <a:extLst>
            <a:ext uri="{FF2B5EF4-FFF2-40B4-BE49-F238E27FC236}">
              <a16:creationId xmlns="" xmlns:a16="http://schemas.microsoft.com/office/drawing/2014/main" id="{00000000-0008-0000-0500-00000C000000}"/>
            </a:ext>
          </a:extLst>
        </xdr:cNvPr>
        <xdr:cNvCxnSpPr/>
      </xdr:nvCxnSpPr>
      <xdr:spPr>
        <a:xfrm rot="10800000">
          <a:off x="11696257" y="1770757"/>
          <a:ext cx="562048" cy="0"/>
        </a:xfrm>
        <a:prstGeom prst="straightConnector1">
          <a:avLst/>
        </a:prstGeom>
        <a:noFill/>
        <a:ln w="9525" cap="flat" cmpd="sng">
          <a:solidFill>
            <a:srgbClr val="9BBB59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13</xdr:col>
      <xdr:colOff>533104</xdr:colOff>
      <xdr:row>10</xdr:row>
      <xdr:rowOff>164641</xdr:rowOff>
    </xdr:from>
    <xdr:to>
      <xdr:col>14</xdr:col>
      <xdr:colOff>342604</xdr:colOff>
      <xdr:row>10</xdr:row>
      <xdr:rowOff>164641</xdr:rowOff>
    </xdr:to>
    <xdr:cxnSp macro="">
      <xdr:nvCxnSpPr>
        <xdr:cNvPr id="13" name="straightConnector1">
          <a:extLst>
            <a:ext uri="{FF2B5EF4-FFF2-40B4-BE49-F238E27FC236}">
              <a16:creationId xmlns="" xmlns:a16="http://schemas.microsoft.com/office/drawing/2014/main" id="{00000000-0008-0000-0500-00000D000000}"/>
            </a:ext>
          </a:extLst>
        </xdr:cNvPr>
        <xdr:cNvCxnSpPr/>
      </xdr:nvCxnSpPr>
      <xdr:spPr>
        <a:xfrm rot="10800000">
          <a:off x="11715454" y="2136316"/>
          <a:ext cx="647700" cy="0"/>
        </a:xfrm>
        <a:prstGeom prst="straightConnector1">
          <a:avLst/>
        </a:prstGeom>
        <a:noFill/>
        <a:ln w="9525" cap="flat" cmpd="sng">
          <a:solidFill>
            <a:srgbClr val="9BBB59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13</xdr:col>
      <xdr:colOff>561901</xdr:colOff>
      <xdr:row>16</xdr:row>
      <xdr:rowOff>126503</xdr:rowOff>
    </xdr:from>
    <xdr:to>
      <xdr:col>15</xdr:col>
      <xdr:colOff>8860</xdr:colOff>
      <xdr:row>16</xdr:row>
      <xdr:rowOff>139154</xdr:rowOff>
    </xdr:to>
    <xdr:cxnSp macro="">
      <xdr:nvCxnSpPr>
        <xdr:cNvPr id="15" name="straightConnector1">
          <a:extLst>
            <a:ext uri="{FF2B5EF4-FFF2-40B4-BE49-F238E27FC236}">
              <a16:creationId xmlns="" xmlns:a16="http://schemas.microsoft.com/office/drawing/2014/main" id="{00000000-0008-0000-0500-00000F000000}"/>
            </a:ext>
          </a:extLst>
        </xdr:cNvPr>
        <xdr:cNvCxnSpPr/>
      </xdr:nvCxnSpPr>
      <xdr:spPr>
        <a:xfrm rot="10800000" flipV="1">
          <a:off x="11744251" y="3469778"/>
          <a:ext cx="1123359" cy="12651"/>
        </a:xfrm>
        <a:prstGeom prst="straightConnector1">
          <a:avLst/>
        </a:prstGeom>
        <a:noFill/>
        <a:ln w="9525" cap="flat" cmpd="sng">
          <a:solidFill>
            <a:srgbClr val="9BBB59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13</xdr:col>
      <xdr:colOff>580360</xdr:colOff>
      <xdr:row>24</xdr:row>
      <xdr:rowOff>88552</xdr:rowOff>
    </xdr:from>
    <xdr:to>
      <xdr:col>15</xdr:col>
      <xdr:colOff>294610</xdr:colOff>
      <xdr:row>24</xdr:row>
      <xdr:rowOff>88552</xdr:rowOff>
    </xdr:to>
    <xdr:cxnSp macro="">
      <xdr:nvCxnSpPr>
        <xdr:cNvPr id="16" name="straightConnector1">
          <a:extLst>
            <a:ext uri="{FF2B5EF4-FFF2-40B4-BE49-F238E27FC236}">
              <a16:creationId xmlns="" xmlns:a16="http://schemas.microsoft.com/office/drawing/2014/main" id="{00000000-0008-0000-0500-000010000000}"/>
            </a:ext>
          </a:extLst>
        </xdr:cNvPr>
        <xdr:cNvCxnSpPr/>
      </xdr:nvCxnSpPr>
      <xdr:spPr>
        <a:xfrm rot="10800000" flipV="1">
          <a:off x="11762710" y="3850927"/>
          <a:ext cx="1390650" cy="0"/>
        </a:xfrm>
        <a:prstGeom prst="straightConnector1">
          <a:avLst/>
        </a:prstGeom>
        <a:noFill/>
        <a:ln w="9525" cap="flat" cmpd="sng">
          <a:solidFill>
            <a:srgbClr val="9BBB59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</xdr:col>
      <xdr:colOff>742359</xdr:colOff>
      <xdr:row>13</xdr:row>
      <xdr:rowOff>130038</xdr:rowOff>
    </xdr:from>
    <xdr:to>
      <xdr:col>11</xdr:col>
      <xdr:colOff>590254</xdr:colOff>
      <xdr:row>14</xdr:row>
      <xdr:rowOff>180975</xdr:rowOff>
    </xdr:to>
    <xdr:sp macro="" textlink="">
      <xdr:nvSpPr>
        <xdr:cNvPr id="17" name=" ">
          <a:extLst>
            <a:ext uri="{FF2B5EF4-FFF2-40B4-BE49-F238E27FC236}">
              <a16:creationId xmlns="" xmlns:a16="http://schemas.microsoft.com/office/drawing/2014/main" id="{00000000-0008-0000-0500-000011000000}"/>
            </a:ext>
          </a:extLst>
        </xdr:cNvPr>
        <xdr:cNvSpPr txBox="1"/>
      </xdr:nvSpPr>
      <xdr:spPr>
        <a:xfrm>
          <a:off x="9476784" y="3035163"/>
          <a:ext cx="609895" cy="289062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F2</a:t>
          </a:r>
        </a:p>
      </xdr:txBody>
    </xdr:sp>
    <xdr:clientData/>
  </xdr:twoCellAnchor>
  <xdr:twoCellAnchor>
    <xdr:from>
      <xdr:col>10</xdr:col>
      <xdr:colOff>437928</xdr:colOff>
      <xdr:row>9</xdr:row>
      <xdr:rowOff>189755</xdr:rowOff>
    </xdr:from>
    <xdr:to>
      <xdr:col>10</xdr:col>
      <xdr:colOff>437928</xdr:colOff>
      <xdr:row>10</xdr:row>
      <xdr:rowOff>120922</xdr:rowOff>
    </xdr:to>
    <xdr:sp macro="" textlink="">
      <xdr:nvSpPr>
        <xdr:cNvPr id="19" name=" ">
          <a:extLst>
            <a:ext uri="{FF2B5EF4-FFF2-40B4-BE49-F238E27FC236}">
              <a16:creationId xmlns="" xmlns:a16="http://schemas.microsoft.com/office/drawing/2014/main" id="{00000000-0008-0000-0500-000013000000}"/>
            </a:ext>
          </a:extLst>
        </xdr:cNvPr>
        <xdr:cNvSpPr txBox="1"/>
      </xdr:nvSpPr>
      <xdr:spPr>
        <a:xfrm>
          <a:off x="9105678" y="1923305"/>
          <a:ext cx="0" cy="169292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F3</a:t>
          </a:r>
        </a:p>
      </xdr:txBody>
    </xdr:sp>
    <xdr:clientData/>
  </xdr:twoCellAnchor>
  <xdr:twoCellAnchor>
    <xdr:from>
      <xdr:col>10</xdr:col>
      <xdr:colOff>266552</xdr:colOff>
      <xdr:row>8</xdr:row>
      <xdr:rowOff>75344</xdr:rowOff>
    </xdr:from>
    <xdr:to>
      <xdr:col>10</xdr:col>
      <xdr:colOff>754616</xdr:colOff>
      <xdr:row>9</xdr:row>
      <xdr:rowOff>234404</xdr:rowOff>
    </xdr:to>
    <xdr:sp macro="" textlink="">
      <xdr:nvSpPr>
        <xdr:cNvPr id="20" name=" ">
          <a:extLst>
            <a:ext uri="{FF2B5EF4-FFF2-40B4-BE49-F238E27FC236}">
              <a16:creationId xmlns="" xmlns:a16="http://schemas.microsoft.com/office/drawing/2014/main" id="{00000000-0008-0000-0500-000014000000}"/>
            </a:ext>
          </a:extLst>
        </xdr:cNvPr>
        <xdr:cNvSpPr txBox="1"/>
      </xdr:nvSpPr>
      <xdr:spPr>
        <a:xfrm>
          <a:off x="8934302" y="1570769"/>
          <a:ext cx="488064" cy="397185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F4</a:t>
          </a:r>
        </a:p>
      </xdr:txBody>
    </xdr:sp>
    <xdr:clientData/>
  </xdr:twoCellAnchor>
  <xdr:twoCellAnchor>
    <xdr:from>
      <xdr:col>10</xdr:col>
      <xdr:colOff>85725</xdr:colOff>
      <xdr:row>7</xdr:row>
      <xdr:rowOff>12093</xdr:rowOff>
    </xdr:from>
    <xdr:to>
      <xdr:col>10</xdr:col>
      <xdr:colOff>609600</xdr:colOff>
      <xdr:row>8</xdr:row>
      <xdr:rowOff>123826</xdr:rowOff>
    </xdr:to>
    <xdr:sp macro="" textlink="">
      <xdr:nvSpPr>
        <xdr:cNvPr id="21" name=" ">
          <a:extLst>
            <a:ext uri="{FF2B5EF4-FFF2-40B4-BE49-F238E27FC236}">
              <a16:creationId xmlns="" xmlns:a16="http://schemas.microsoft.com/office/drawing/2014/main" id="{00000000-0008-0000-0500-000015000000}"/>
            </a:ext>
          </a:extLst>
        </xdr:cNvPr>
        <xdr:cNvSpPr txBox="1"/>
      </xdr:nvSpPr>
      <xdr:spPr>
        <a:xfrm>
          <a:off x="8753475" y="1269393"/>
          <a:ext cx="523875" cy="349858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F5</a:t>
          </a:r>
        </a:p>
      </xdr:txBody>
    </xdr:sp>
    <xdr:clientData/>
  </xdr:twoCellAnchor>
  <xdr:twoCellAnchor>
    <xdr:from>
      <xdr:col>14</xdr:col>
      <xdr:colOff>0</xdr:colOff>
      <xdr:row>8</xdr:row>
      <xdr:rowOff>37207</xdr:rowOff>
    </xdr:from>
    <xdr:to>
      <xdr:col>15</xdr:col>
      <xdr:colOff>283534</xdr:colOff>
      <xdr:row>10</xdr:row>
      <xdr:rowOff>35346</xdr:rowOff>
    </xdr:to>
    <xdr:sp macro="" textlink="">
      <xdr:nvSpPr>
        <xdr:cNvPr id="22" name=" ">
          <a:extLst>
            <a:ext uri="{FF2B5EF4-FFF2-40B4-BE49-F238E27FC236}">
              <a16:creationId xmlns="" xmlns:a16="http://schemas.microsoft.com/office/drawing/2014/main" id="{00000000-0008-0000-0500-000016000000}"/>
            </a:ext>
          </a:extLst>
        </xdr:cNvPr>
        <xdr:cNvSpPr txBox="1"/>
      </xdr:nvSpPr>
      <xdr:spPr>
        <a:xfrm>
          <a:off x="12020550" y="1532632"/>
          <a:ext cx="1121734" cy="474389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V5</a:t>
          </a:r>
        </a:p>
      </xdr:txBody>
    </xdr:sp>
    <xdr:clientData/>
  </xdr:twoCellAnchor>
  <xdr:twoCellAnchor>
    <xdr:from>
      <xdr:col>14</xdr:col>
      <xdr:colOff>161703</xdr:colOff>
      <xdr:row>9</xdr:row>
      <xdr:rowOff>151618</xdr:rowOff>
    </xdr:from>
    <xdr:to>
      <xdr:col>15</xdr:col>
      <xdr:colOff>121831</xdr:colOff>
      <xdr:row>10</xdr:row>
      <xdr:rowOff>159060</xdr:rowOff>
    </xdr:to>
    <xdr:sp macro="" textlink="">
      <xdr:nvSpPr>
        <xdr:cNvPr id="23" name=" ">
          <a:extLst>
            <a:ext uri="{FF2B5EF4-FFF2-40B4-BE49-F238E27FC236}">
              <a16:creationId xmlns="" xmlns:a16="http://schemas.microsoft.com/office/drawing/2014/main" id="{00000000-0008-0000-0500-000017000000}"/>
            </a:ext>
          </a:extLst>
        </xdr:cNvPr>
        <xdr:cNvSpPr txBox="1"/>
      </xdr:nvSpPr>
      <xdr:spPr>
        <a:xfrm>
          <a:off x="12182253" y="1885168"/>
          <a:ext cx="798328" cy="24556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V4</a:t>
          </a:r>
        </a:p>
      </xdr:txBody>
    </xdr:sp>
    <xdr:clientData/>
  </xdr:twoCellAnchor>
  <xdr:twoCellAnchor>
    <xdr:from>
      <xdr:col>14</xdr:col>
      <xdr:colOff>523505</xdr:colOff>
      <xdr:row>15</xdr:row>
      <xdr:rowOff>101389</xdr:rowOff>
    </xdr:from>
    <xdr:to>
      <xdr:col>15</xdr:col>
      <xdr:colOff>333375</xdr:colOff>
      <xdr:row>23</xdr:row>
      <xdr:rowOff>19347</xdr:rowOff>
    </xdr:to>
    <xdr:sp macro="" textlink="">
      <xdr:nvSpPr>
        <xdr:cNvPr id="25" name=" ">
          <a:extLst>
            <a:ext uri="{FF2B5EF4-FFF2-40B4-BE49-F238E27FC236}">
              <a16:creationId xmlns="" xmlns:a16="http://schemas.microsoft.com/office/drawing/2014/main" id="{00000000-0008-0000-0500-000019000000}"/>
            </a:ext>
          </a:extLst>
        </xdr:cNvPr>
        <xdr:cNvSpPr txBox="1"/>
      </xdr:nvSpPr>
      <xdr:spPr>
        <a:xfrm>
          <a:off x="12544055" y="3263689"/>
          <a:ext cx="648070" cy="337058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V2</a:t>
          </a:r>
        </a:p>
      </xdr:txBody>
    </xdr:sp>
    <xdr:clientData/>
  </xdr:twoCellAnchor>
  <xdr:twoCellAnchor>
    <xdr:from>
      <xdr:col>15</xdr:col>
      <xdr:colOff>18459</xdr:colOff>
      <xdr:row>23</xdr:row>
      <xdr:rowOff>25300</xdr:rowOff>
    </xdr:from>
    <xdr:to>
      <xdr:col>16</xdr:col>
      <xdr:colOff>265075</xdr:colOff>
      <xdr:row>25</xdr:row>
      <xdr:rowOff>19347</xdr:rowOff>
    </xdr:to>
    <xdr:sp macro="" textlink="">
      <xdr:nvSpPr>
        <xdr:cNvPr id="26" name=" ">
          <a:extLst>
            <a:ext uri="{FF2B5EF4-FFF2-40B4-BE49-F238E27FC236}">
              <a16:creationId xmlns="" xmlns:a16="http://schemas.microsoft.com/office/drawing/2014/main" id="{00000000-0008-0000-0500-00001A000000}"/>
            </a:ext>
          </a:extLst>
        </xdr:cNvPr>
        <xdr:cNvSpPr txBox="1"/>
      </xdr:nvSpPr>
      <xdr:spPr>
        <a:xfrm>
          <a:off x="12877209" y="3606700"/>
          <a:ext cx="1084816" cy="413147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V1</a:t>
          </a:r>
        </a:p>
      </xdr:txBody>
    </xdr:sp>
    <xdr:clientData/>
  </xdr:twoCellAnchor>
  <xdr:twoCellAnchor>
    <xdr:from>
      <xdr:col>12</xdr:col>
      <xdr:colOff>655674</xdr:colOff>
      <xdr:row>23</xdr:row>
      <xdr:rowOff>151804</xdr:rowOff>
    </xdr:from>
    <xdr:to>
      <xdr:col>12</xdr:col>
      <xdr:colOff>657889</xdr:colOff>
      <xdr:row>25</xdr:row>
      <xdr:rowOff>139154</xdr:rowOff>
    </xdr:to>
    <xdr:cxnSp macro="">
      <xdr:nvCxnSpPr>
        <xdr:cNvPr id="27" name="straightConnector1">
          <a:extLst>
            <a:ext uri="{FF2B5EF4-FFF2-40B4-BE49-F238E27FC236}">
              <a16:creationId xmlns="" xmlns:a16="http://schemas.microsoft.com/office/drawing/2014/main" id="{00000000-0008-0000-0500-00001B000000}"/>
            </a:ext>
          </a:extLst>
        </xdr:cNvPr>
        <xdr:cNvCxnSpPr/>
      </xdr:nvCxnSpPr>
      <xdr:spPr>
        <a:xfrm rot="5400000">
          <a:off x="10797707" y="3935321"/>
          <a:ext cx="406450" cy="2215"/>
        </a:xfrm>
        <a:prstGeom prst="straightConnector1">
          <a:avLst/>
        </a:prstGeom>
        <a:noFill/>
        <a:ln w="9525" cap="flat" cmpd="sng">
          <a:solidFill>
            <a:srgbClr val="000000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12</xdr:col>
      <xdr:colOff>313808</xdr:colOff>
      <xdr:row>25</xdr:row>
      <xdr:rowOff>0</xdr:rowOff>
    </xdr:from>
    <xdr:to>
      <xdr:col>12</xdr:col>
      <xdr:colOff>699976</xdr:colOff>
      <xdr:row>27</xdr:row>
      <xdr:rowOff>72553</xdr:rowOff>
    </xdr:to>
    <xdr:sp macro="" textlink="">
      <xdr:nvSpPr>
        <xdr:cNvPr id="28" name=" ">
          <a:extLst>
            <a:ext uri="{FF2B5EF4-FFF2-40B4-BE49-F238E27FC236}">
              <a16:creationId xmlns="" xmlns:a16="http://schemas.microsoft.com/office/drawing/2014/main" id="{00000000-0008-0000-0500-00001C000000}"/>
            </a:ext>
          </a:extLst>
        </xdr:cNvPr>
        <xdr:cNvSpPr txBox="1"/>
      </xdr:nvSpPr>
      <xdr:spPr>
        <a:xfrm>
          <a:off x="10657958" y="4000500"/>
          <a:ext cx="386168" cy="548803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lIns="90000" tIns="46800" rIns="90000" bIns="46800" anchor="t"/>
        <a:lstStyle/>
        <a:p>
          <a:pPr algn="l"/>
          <a:r>
            <a:rPr lang="en-US" altLang="zh-CN" sz="1400" b="1">
              <a:solidFill>
                <a:srgbClr val="000000"/>
              </a:solidFill>
              <a:latin typeface="Calibri" panose="00000000000000000000" charset="0"/>
              <a:ea typeface="Calibri" panose="00000000000000000000" charset="0"/>
            </a:rPr>
            <a:t>W</a:t>
          </a:r>
        </a:p>
      </xdr:txBody>
    </xdr:sp>
    <xdr:clientData/>
  </xdr:twoCellAnchor>
  <xdr:twoCellAnchor>
    <xdr:from>
      <xdr:col>12</xdr:col>
      <xdr:colOff>666750</xdr:colOff>
      <xdr:row>26</xdr:row>
      <xdr:rowOff>37207</xdr:rowOff>
    </xdr:from>
    <xdr:to>
      <xdr:col>13</xdr:col>
      <xdr:colOff>533104</xdr:colOff>
      <xdr:row>26</xdr:row>
      <xdr:rowOff>37207</xdr:rowOff>
    </xdr:to>
    <xdr:cxnSp macro="">
      <xdr:nvCxnSpPr>
        <xdr:cNvPr id="29" name="straightConnector1">
          <a:extLst>
            <a:ext uri="{FF2B5EF4-FFF2-40B4-BE49-F238E27FC236}">
              <a16:creationId xmlns="" xmlns:a16="http://schemas.microsoft.com/office/drawing/2014/main" id="{00000000-0008-0000-0500-00001D000000}"/>
            </a:ext>
          </a:extLst>
        </xdr:cNvPr>
        <xdr:cNvCxnSpPr/>
      </xdr:nvCxnSpPr>
      <xdr:spPr>
        <a:xfrm>
          <a:off x="11010900" y="4275832"/>
          <a:ext cx="704554" cy="0"/>
        </a:xfrm>
        <a:prstGeom prst="straightConnector1">
          <a:avLst/>
        </a:prstGeom>
        <a:noFill/>
        <a:ln w="19050" cap="flat" cmpd="sng">
          <a:solidFill>
            <a:srgbClr val="4F81BD"/>
          </a:solidFill>
          <a:prstDash val="sysDot"/>
          <a:miter/>
          <a:headEnd type="arrow" w="med" len="med"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twoCellAnchor>
    <xdr:from>
      <xdr:col>10</xdr:col>
      <xdr:colOff>742802</xdr:colOff>
      <xdr:row>10</xdr:row>
      <xdr:rowOff>189755</xdr:rowOff>
    </xdr:from>
    <xdr:to>
      <xdr:col>12</xdr:col>
      <xdr:colOff>56854</xdr:colOff>
      <xdr:row>10</xdr:row>
      <xdr:rowOff>189755</xdr:rowOff>
    </xdr:to>
    <xdr:cxnSp macro="">
      <xdr:nvCxnSpPr>
        <xdr:cNvPr id="30" name="straightConnector1">
          <a:extLst>
            <a:ext uri="{FF2B5EF4-FFF2-40B4-BE49-F238E27FC236}">
              <a16:creationId xmlns="" xmlns:a16="http://schemas.microsoft.com/office/drawing/2014/main" id="{00000000-0008-0000-0500-00001E000000}"/>
            </a:ext>
          </a:extLst>
        </xdr:cNvPr>
        <xdr:cNvCxnSpPr/>
      </xdr:nvCxnSpPr>
      <xdr:spPr>
        <a:xfrm flipV="1">
          <a:off x="9410552" y="2161430"/>
          <a:ext cx="990452" cy="0"/>
        </a:xfrm>
        <a:prstGeom prst="straightConnector1">
          <a:avLst/>
        </a:prstGeom>
        <a:noFill/>
        <a:ln w="9525" cap="flat" cmpd="sng">
          <a:solidFill>
            <a:srgbClr val="BF4F4D"/>
          </a:solidFill>
          <a:prstDash val="solid"/>
          <a:miter/>
          <a:tailEnd type="arrow" w="med" len="med"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</xdr:cxnSp>
    <xdr:clientData/>
  </xdr:twoCellAnchor>
  <xdr:oneCellAnchor>
    <xdr:from>
      <xdr:col>10</xdr:col>
      <xdr:colOff>342900</xdr:colOff>
      <xdr:row>9</xdr:row>
      <xdr:rowOff>200025</xdr:rowOff>
    </xdr:from>
    <xdr:ext cx="358175" cy="311496"/>
    <xdr:sp macro="" textlink="">
      <xdr:nvSpPr>
        <xdr:cNvPr id="31" name="ZoneTexte 30">
          <a:extLst>
            <a:ext uri="{FF2B5EF4-FFF2-40B4-BE49-F238E27FC236}">
              <a16:creationId xmlns="" xmlns:a16="http://schemas.microsoft.com/office/drawing/2014/main" id="{00000000-0008-0000-0500-00001F000000}"/>
            </a:ext>
          </a:extLst>
        </xdr:cNvPr>
        <xdr:cNvSpPr txBox="1"/>
      </xdr:nvSpPr>
      <xdr:spPr>
        <a:xfrm>
          <a:off x="9010650" y="1933575"/>
          <a:ext cx="358175" cy="31149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fr-FR" sz="1400" b="1"/>
            <a:t>F3</a:t>
          </a:r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ab/AppData/Roaming/Microsoft/Excel/V&#233;rifications%20exigences%20rpa%20(version%201).xlsb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euil2"/>
      <sheetName val="Feuille 3"/>
      <sheetName val="Feuil1"/>
      <sheetName val="Feuil3"/>
      <sheetName val="Feuil4"/>
      <sheetName val="Feuil5"/>
    </sheetNames>
    <sheetDataSet>
      <sheetData sheetId="0">
        <row r="25">
          <cell r="H25" t="str">
            <v>N Voile</v>
          </cell>
        </row>
        <row r="38">
          <cell r="H38" t="str">
            <v>FX Voile</v>
          </cell>
          <cell r="I38" t="str">
            <v>FX Poteaux</v>
          </cell>
        </row>
        <row r="51">
          <cell r="H51" t="str">
            <v>FY Voile</v>
          </cell>
          <cell r="I51" t="str">
            <v>FY Poteaux</v>
          </cell>
        </row>
      </sheetData>
      <sheetData sheetId="1">
        <row r="36">
          <cell r="D36">
            <v>419.53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oleObject" Target="../embeddings/oleObject114.bin"/><Relationship Id="rId21" Type="http://schemas.openxmlformats.org/officeDocument/2006/relationships/oleObject" Target="../embeddings/oleObject18.bin"/><Relationship Id="rId42" Type="http://schemas.openxmlformats.org/officeDocument/2006/relationships/oleObject" Target="../embeddings/oleObject39.bin"/><Relationship Id="rId63" Type="http://schemas.openxmlformats.org/officeDocument/2006/relationships/oleObject" Target="../embeddings/oleObject60.bin"/><Relationship Id="rId84" Type="http://schemas.openxmlformats.org/officeDocument/2006/relationships/oleObject" Target="../embeddings/oleObject81.bin"/><Relationship Id="rId138" Type="http://schemas.openxmlformats.org/officeDocument/2006/relationships/oleObject" Target="../embeddings/oleObject135.bin"/><Relationship Id="rId159" Type="http://schemas.openxmlformats.org/officeDocument/2006/relationships/oleObject" Target="../embeddings/oleObject156.bin"/><Relationship Id="rId170" Type="http://schemas.openxmlformats.org/officeDocument/2006/relationships/oleObject" Target="../embeddings/oleObject167.bin"/><Relationship Id="rId191" Type="http://schemas.openxmlformats.org/officeDocument/2006/relationships/oleObject" Target="../embeddings/oleObject188.bin"/><Relationship Id="rId205" Type="http://schemas.openxmlformats.org/officeDocument/2006/relationships/oleObject" Target="../embeddings/oleObject202.bin"/><Relationship Id="rId107" Type="http://schemas.openxmlformats.org/officeDocument/2006/relationships/oleObject" Target="../embeddings/oleObject104.bin"/><Relationship Id="rId11" Type="http://schemas.openxmlformats.org/officeDocument/2006/relationships/oleObject" Target="../embeddings/oleObject8.bin"/><Relationship Id="rId32" Type="http://schemas.openxmlformats.org/officeDocument/2006/relationships/oleObject" Target="../embeddings/oleObject29.bin"/><Relationship Id="rId53" Type="http://schemas.openxmlformats.org/officeDocument/2006/relationships/oleObject" Target="../embeddings/oleObject50.bin"/><Relationship Id="rId74" Type="http://schemas.openxmlformats.org/officeDocument/2006/relationships/oleObject" Target="../embeddings/oleObject71.bin"/><Relationship Id="rId128" Type="http://schemas.openxmlformats.org/officeDocument/2006/relationships/oleObject" Target="../embeddings/oleObject125.bin"/><Relationship Id="rId149" Type="http://schemas.openxmlformats.org/officeDocument/2006/relationships/oleObject" Target="../embeddings/oleObject146.bin"/><Relationship Id="rId5" Type="http://schemas.openxmlformats.org/officeDocument/2006/relationships/oleObject" Target="../embeddings/oleObject2.bin"/><Relationship Id="rId95" Type="http://schemas.openxmlformats.org/officeDocument/2006/relationships/oleObject" Target="../embeddings/oleObject92.bin"/><Relationship Id="rId160" Type="http://schemas.openxmlformats.org/officeDocument/2006/relationships/oleObject" Target="../embeddings/oleObject157.bin"/><Relationship Id="rId181" Type="http://schemas.openxmlformats.org/officeDocument/2006/relationships/oleObject" Target="../embeddings/oleObject178.bin"/><Relationship Id="rId216" Type="http://schemas.openxmlformats.org/officeDocument/2006/relationships/oleObject" Target="../embeddings/oleObject213.bin"/><Relationship Id="rId211" Type="http://schemas.openxmlformats.org/officeDocument/2006/relationships/oleObject" Target="../embeddings/oleObject208.bin"/><Relationship Id="rId22" Type="http://schemas.openxmlformats.org/officeDocument/2006/relationships/oleObject" Target="../embeddings/oleObject19.bin"/><Relationship Id="rId27" Type="http://schemas.openxmlformats.org/officeDocument/2006/relationships/oleObject" Target="../embeddings/oleObject24.bin"/><Relationship Id="rId43" Type="http://schemas.openxmlformats.org/officeDocument/2006/relationships/oleObject" Target="../embeddings/oleObject40.bin"/><Relationship Id="rId48" Type="http://schemas.openxmlformats.org/officeDocument/2006/relationships/oleObject" Target="../embeddings/oleObject45.bin"/><Relationship Id="rId64" Type="http://schemas.openxmlformats.org/officeDocument/2006/relationships/oleObject" Target="../embeddings/oleObject61.bin"/><Relationship Id="rId69" Type="http://schemas.openxmlformats.org/officeDocument/2006/relationships/oleObject" Target="../embeddings/oleObject66.bin"/><Relationship Id="rId113" Type="http://schemas.openxmlformats.org/officeDocument/2006/relationships/oleObject" Target="../embeddings/oleObject110.bin"/><Relationship Id="rId118" Type="http://schemas.openxmlformats.org/officeDocument/2006/relationships/oleObject" Target="../embeddings/oleObject115.bin"/><Relationship Id="rId134" Type="http://schemas.openxmlformats.org/officeDocument/2006/relationships/oleObject" Target="../embeddings/oleObject131.bin"/><Relationship Id="rId139" Type="http://schemas.openxmlformats.org/officeDocument/2006/relationships/oleObject" Target="../embeddings/oleObject136.bin"/><Relationship Id="rId80" Type="http://schemas.openxmlformats.org/officeDocument/2006/relationships/oleObject" Target="../embeddings/oleObject77.bin"/><Relationship Id="rId85" Type="http://schemas.openxmlformats.org/officeDocument/2006/relationships/oleObject" Target="../embeddings/oleObject82.bin"/><Relationship Id="rId150" Type="http://schemas.openxmlformats.org/officeDocument/2006/relationships/oleObject" Target="../embeddings/oleObject147.bin"/><Relationship Id="rId155" Type="http://schemas.openxmlformats.org/officeDocument/2006/relationships/oleObject" Target="../embeddings/oleObject152.bin"/><Relationship Id="rId171" Type="http://schemas.openxmlformats.org/officeDocument/2006/relationships/oleObject" Target="../embeddings/oleObject168.bin"/><Relationship Id="rId176" Type="http://schemas.openxmlformats.org/officeDocument/2006/relationships/oleObject" Target="../embeddings/oleObject173.bin"/><Relationship Id="rId192" Type="http://schemas.openxmlformats.org/officeDocument/2006/relationships/oleObject" Target="../embeddings/oleObject189.bin"/><Relationship Id="rId197" Type="http://schemas.openxmlformats.org/officeDocument/2006/relationships/oleObject" Target="../embeddings/oleObject194.bin"/><Relationship Id="rId206" Type="http://schemas.openxmlformats.org/officeDocument/2006/relationships/oleObject" Target="../embeddings/oleObject203.bin"/><Relationship Id="rId201" Type="http://schemas.openxmlformats.org/officeDocument/2006/relationships/oleObject" Target="../embeddings/oleObject198.bin"/><Relationship Id="rId222" Type="http://schemas.openxmlformats.org/officeDocument/2006/relationships/oleObject" Target="../embeddings/oleObject219.bin"/><Relationship Id="rId12" Type="http://schemas.openxmlformats.org/officeDocument/2006/relationships/oleObject" Target="../embeddings/oleObject9.bin"/><Relationship Id="rId17" Type="http://schemas.openxmlformats.org/officeDocument/2006/relationships/oleObject" Target="../embeddings/oleObject14.bin"/><Relationship Id="rId33" Type="http://schemas.openxmlformats.org/officeDocument/2006/relationships/oleObject" Target="../embeddings/oleObject30.bin"/><Relationship Id="rId38" Type="http://schemas.openxmlformats.org/officeDocument/2006/relationships/oleObject" Target="../embeddings/oleObject35.bin"/><Relationship Id="rId59" Type="http://schemas.openxmlformats.org/officeDocument/2006/relationships/oleObject" Target="../embeddings/oleObject56.bin"/><Relationship Id="rId103" Type="http://schemas.openxmlformats.org/officeDocument/2006/relationships/oleObject" Target="../embeddings/oleObject100.bin"/><Relationship Id="rId108" Type="http://schemas.openxmlformats.org/officeDocument/2006/relationships/oleObject" Target="../embeddings/oleObject105.bin"/><Relationship Id="rId124" Type="http://schemas.openxmlformats.org/officeDocument/2006/relationships/oleObject" Target="../embeddings/oleObject121.bin"/><Relationship Id="rId129" Type="http://schemas.openxmlformats.org/officeDocument/2006/relationships/oleObject" Target="../embeddings/oleObject126.bin"/><Relationship Id="rId54" Type="http://schemas.openxmlformats.org/officeDocument/2006/relationships/oleObject" Target="../embeddings/oleObject51.bin"/><Relationship Id="rId70" Type="http://schemas.openxmlformats.org/officeDocument/2006/relationships/oleObject" Target="../embeddings/oleObject67.bin"/><Relationship Id="rId75" Type="http://schemas.openxmlformats.org/officeDocument/2006/relationships/oleObject" Target="../embeddings/oleObject72.bin"/><Relationship Id="rId91" Type="http://schemas.openxmlformats.org/officeDocument/2006/relationships/oleObject" Target="../embeddings/oleObject88.bin"/><Relationship Id="rId96" Type="http://schemas.openxmlformats.org/officeDocument/2006/relationships/oleObject" Target="../embeddings/oleObject93.bin"/><Relationship Id="rId140" Type="http://schemas.openxmlformats.org/officeDocument/2006/relationships/oleObject" Target="../embeddings/oleObject137.bin"/><Relationship Id="rId145" Type="http://schemas.openxmlformats.org/officeDocument/2006/relationships/oleObject" Target="../embeddings/oleObject142.bin"/><Relationship Id="rId161" Type="http://schemas.openxmlformats.org/officeDocument/2006/relationships/oleObject" Target="../embeddings/oleObject158.bin"/><Relationship Id="rId166" Type="http://schemas.openxmlformats.org/officeDocument/2006/relationships/oleObject" Target="../embeddings/oleObject163.bin"/><Relationship Id="rId182" Type="http://schemas.openxmlformats.org/officeDocument/2006/relationships/oleObject" Target="../embeddings/oleObject179.bin"/><Relationship Id="rId187" Type="http://schemas.openxmlformats.org/officeDocument/2006/relationships/oleObject" Target="../embeddings/oleObject184.bin"/><Relationship Id="rId217" Type="http://schemas.openxmlformats.org/officeDocument/2006/relationships/oleObject" Target="../embeddings/oleObject214.bin"/><Relationship Id="rId1" Type="http://schemas.openxmlformats.org/officeDocument/2006/relationships/printerSettings" Target="../printerSettings/printerSettings2.bin"/><Relationship Id="rId6" Type="http://schemas.openxmlformats.org/officeDocument/2006/relationships/oleObject" Target="../embeddings/oleObject3.bin"/><Relationship Id="rId212" Type="http://schemas.openxmlformats.org/officeDocument/2006/relationships/oleObject" Target="../embeddings/oleObject209.bin"/><Relationship Id="rId23" Type="http://schemas.openxmlformats.org/officeDocument/2006/relationships/oleObject" Target="../embeddings/oleObject20.bin"/><Relationship Id="rId28" Type="http://schemas.openxmlformats.org/officeDocument/2006/relationships/oleObject" Target="../embeddings/oleObject25.bin"/><Relationship Id="rId49" Type="http://schemas.openxmlformats.org/officeDocument/2006/relationships/oleObject" Target="../embeddings/oleObject46.bin"/><Relationship Id="rId114" Type="http://schemas.openxmlformats.org/officeDocument/2006/relationships/oleObject" Target="../embeddings/oleObject111.bin"/><Relationship Id="rId119" Type="http://schemas.openxmlformats.org/officeDocument/2006/relationships/oleObject" Target="../embeddings/oleObject116.bin"/><Relationship Id="rId44" Type="http://schemas.openxmlformats.org/officeDocument/2006/relationships/oleObject" Target="../embeddings/oleObject41.bin"/><Relationship Id="rId60" Type="http://schemas.openxmlformats.org/officeDocument/2006/relationships/oleObject" Target="../embeddings/oleObject57.bin"/><Relationship Id="rId65" Type="http://schemas.openxmlformats.org/officeDocument/2006/relationships/oleObject" Target="../embeddings/oleObject62.bin"/><Relationship Id="rId81" Type="http://schemas.openxmlformats.org/officeDocument/2006/relationships/oleObject" Target="../embeddings/oleObject78.bin"/><Relationship Id="rId86" Type="http://schemas.openxmlformats.org/officeDocument/2006/relationships/oleObject" Target="../embeddings/oleObject83.bin"/><Relationship Id="rId130" Type="http://schemas.openxmlformats.org/officeDocument/2006/relationships/oleObject" Target="../embeddings/oleObject127.bin"/><Relationship Id="rId135" Type="http://schemas.openxmlformats.org/officeDocument/2006/relationships/oleObject" Target="../embeddings/oleObject132.bin"/><Relationship Id="rId151" Type="http://schemas.openxmlformats.org/officeDocument/2006/relationships/oleObject" Target="../embeddings/oleObject148.bin"/><Relationship Id="rId156" Type="http://schemas.openxmlformats.org/officeDocument/2006/relationships/oleObject" Target="../embeddings/oleObject153.bin"/><Relationship Id="rId177" Type="http://schemas.openxmlformats.org/officeDocument/2006/relationships/oleObject" Target="../embeddings/oleObject174.bin"/><Relationship Id="rId198" Type="http://schemas.openxmlformats.org/officeDocument/2006/relationships/oleObject" Target="../embeddings/oleObject195.bin"/><Relationship Id="rId172" Type="http://schemas.openxmlformats.org/officeDocument/2006/relationships/oleObject" Target="../embeddings/oleObject169.bin"/><Relationship Id="rId193" Type="http://schemas.openxmlformats.org/officeDocument/2006/relationships/oleObject" Target="../embeddings/oleObject190.bin"/><Relationship Id="rId202" Type="http://schemas.openxmlformats.org/officeDocument/2006/relationships/oleObject" Target="../embeddings/oleObject199.bin"/><Relationship Id="rId207" Type="http://schemas.openxmlformats.org/officeDocument/2006/relationships/oleObject" Target="../embeddings/oleObject204.bin"/><Relationship Id="rId223" Type="http://schemas.openxmlformats.org/officeDocument/2006/relationships/oleObject" Target="../embeddings/oleObject220.bin"/><Relationship Id="rId13" Type="http://schemas.openxmlformats.org/officeDocument/2006/relationships/oleObject" Target="../embeddings/oleObject10.bin"/><Relationship Id="rId18" Type="http://schemas.openxmlformats.org/officeDocument/2006/relationships/oleObject" Target="../embeddings/oleObject15.bin"/><Relationship Id="rId39" Type="http://schemas.openxmlformats.org/officeDocument/2006/relationships/oleObject" Target="../embeddings/oleObject36.bin"/><Relationship Id="rId109" Type="http://schemas.openxmlformats.org/officeDocument/2006/relationships/oleObject" Target="../embeddings/oleObject106.bin"/><Relationship Id="rId34" Type="http://schemas.openxmlformats.org/officeDocument/2006/relationships/oleObject" Target="../embeddings/oleObject31.bin"/><Relationship Id="rId50" Type="http://schemas.openxmlformats.org/officeDocument/2006/relationships/oleObject" Target="../embeddings/oleObject47.bin"/><Relationship Id="rId55" Type="http://schemas.openxmlformats.org/officeDocument/2006/relationships/oleObject" Target="../embeddings/oleObject52.bin"/><Relationship Id="rId76" Type="http://schemas.openxmlformats.org/officeDocument/2006/relationships/oleObject" Target="../embeddings/oleObject73.bin"/><Relationship Id="rId97" Type="http://schemas.openxmlformats.org/officeDocument/2006/relationships/oleObject" Target="../embeddings/oleObject94.bin"/><Relationship Id="rId104" Type="http://schemas.openxmlformats.org/officeDocument/2006/relationships/oleObject" Target="../embeddings/oleObject101.bin"/><Relationship Id="rId120" Type="http://schemas.openxmlformats.org/officeDocument/2006/relationships/oleObject" Target="../embeddings/oleObject117.bin"/><Relationship Id="rId125" Type="http://schemas.openxmlformats.org/officeDocument/2006/relationships/oleObject" Target="../embeddings/oleObject122.bin"/><Relationship Id="rId141" Type="http://schemas.openxmlformats.org/officeDocument/2006/relationships/oleObject" Target="../embeddings/oleObject138.bin"/><Relationship Id="rId146" Type="http://schemas.openxmlformats.org/officeDocument/2006/relationships/oleObject" Target="../embeddings/oleObject143.bin"/><Relationship Id="rId167" Type="http://schemas.openxmlformats.org/officeDocument/2006/relationships/oleObject" Target="../embeddings/oleObject164.bin"/><Relationship Id="rId188" Type="http://schemas.openxmlformats.org/officeDocument/2006/relationships/oleObject" Target="../embeddings/oleObject185.bin"/><Relationship Id="rId7" Type="http://schemas.openxmlformats.org/officeDocument/2006/relationships/oleObject" Target="../embeddings/oleObject4.bin"/><Relationship Id="rId71" Type="http://schemas.openxmlformats.org/officeDocument/2006/relationships/oleObject" Target="../embeddings/oleObject68.bin"/><Relationship Id="rId92" Type="http://schemas.openxmlformats.org/officeDocument/2006/relationships/oleObject" Target="../embeddings/oleObject89.bin"/><Relationship Id="rId162" Type="http://schemas.openxmlformats.org/officeDocument/2006/relationships/oleObject" Target="../embeddings/oleObject159.bin"/><Relationship Id="rId183" Type="http://schemas.openxmlformats.org/officeDocument/2006/relationships/oleObject" Target="../embeddings/oleObject180.bin"/><Relationship Id="rId213" Type="http://schemas.openxmlformats.org/officeDocument/2006/relationships/oleObject" Target="../embeddings/oleObject210.bin"/><Relationship Id="rId218" Type="http://schemas.openxmlformats.org/officeDocument/2006/relationships/oleObject" Target="../embeddings/oleObject215.bin"/><Relationship Id="rId2" Type="http://schemas.openxmlformats.org/officeDocument/2006/relationships/drawing" Target="../drawings/drawing1.xml"/><Relationship Id="rId29" Type="http://schemas.openxmlformats.org/officeDocument/2006/relationships/oleObject" Target="../embeddings/oleObject26.bin"/><Relationship Id="rId24" Type="http://schemas.openxmlformats.org/officeDocument/2006/relationships/oleObject" Target="../embeddings/oleObject21.bin"/><Relationship Id="rId40" Type="http://schemas.openxmlformats.org/officeDocument/2006/relationships/oleObject" Target="../embeddings/oleObject37.bin"/><Relationship Id="rId45" Type="http://schemas.openxmlformats.org/officeDocument/2006/relationships/oleObject" Target="../embeddings/oleObject42.bin"/><Relationship Id="rId66" Type="http://schemas.openxmlformats.org/officeDocument/2006/relationships/oleObject" Target="../embeddings/oleObject63.bin"/><Relationship Id="rId87" Type="http://schemas.openxmlformats.org/officeDocument/2006/relationships/oleObject" Target="../embeddings/oleObject84.bin"/><Relationship Id="rId110" Type="http://schemas.openxmlformats.org/officeDocument/2006/relationships/oleObject" Target="../embeddings/oleObject107.bin"/><Relationship Id="rId115" Type="http://schemas.openxmlformats.org/officeDocument/2006/relationships/oleObject" Target="../embeddings/oleObject112.bin"/><Relationship Id="rId131" Type="http://schemas.openxmlformats.org/officeDocument/2006/relationships/oleObject" Target="../embeddings/oleObject128.bin"/><Relationship Id="rId136" Type="http://schemas.openxmlformats.org/officeDocument/2006/relationships/oleObject" Target="../embeddings/oleObject133.bin"/><Relationship Id="rId157" Type="http://schemas.openxmlformats.org/officeDocument/2006/relationships/oleObject" Target="../embeddings/oleObject154.bin"/><Relationship Id="rId178" Type="http://schemas.openxmlformats.org/officeDocument/2006/relationships/oleObject" Target="../embeddings/oleObject175.bin"/><Relationship Id="rId61" Type="http://schemas.openxmlformats.org/officeDocument/2006/relationships/oleObject" Target="../embeddings/oleObject58.bin"/><Relationship Id="rId82" Type="http://schemas.openxmlformats.org/officeDocument/2006/relationships/oleObject" Target="../embeddings/oleObject79.bin"/><Relationship Id="rId152" Type="http://schemas.openxmlformats.org/officeDocument/2006/relationships/oleObject" Target="../embeddings/oleObject149.bin"/><Relationship Id="rId173" Type="http://schemas.openxmlformats.org/officeDocument/2006/relationships/oleObject" Target="../embeddings/oleObject170.bin"/><Relationship Id="rId194" Type="http://schemas.openxmlformats.org/officeDocument/2006/relationships/oleObject" Target="../embeddings/oleObject191.bin"/><Relationship Id="rId199" Type="http://schemas.openxmlformats.org/officeDocument/2006/relationships/oleObject" Target="../embeddings/oleObject196.bin"/><Relationship Id="rId203" Type="http://schemas.openxmlformats.org/officeDocument/2006/relationships/oleObject" Target="../embeddings/oleObject200.bin"/><Relationship Id="rId208" Type="http://schemas.openxmlformats.org/officeDocument/2006/relationships/oleObject" Target="../embeddings/oleObject205.bin"/><Relationship Id="rId19" Type="http://schemas.openxmlformats.org/officeDocument/2006/relationships/oleObject" Target="../embeddings/oleObject16.bin"/><Relationship Id="rId224" Type="http://schemas.openxmlformats.org/officeDocument/2006/relationships/oleObject" Target="../embeddings/oleObject221.bin"/><Relationship Id="rId14" Type="http://schemas.openxmlformats.org/officeDocument/2006/relationships/oleObject" Target="../embeddings/oleObject11.bin"/><Relationship Id="rId30" Type="http://schemas.openxmlformats.org/officeDocument/2006/relationships/oleObject" Target="../embeddings/oleObject27.bin"/><Relationship Id="rId35" Type="http://schemas.openxmlformats.org/officeDocument/2006/relationships/oleObject" Target="../embeddings/oleObject32.bin"/><Relationship Id="rId56" Type="http://schemas.openxmlformats.org/officeDocument/2006/relationships/oleObject" Target="../embeddings/oleObject53.bin"/><Relationship Id="rId77" Type="http://schemas.openxmlformats.org/officeDocument/2006/relationships/oleObject" Target="../embeddings/oleObject74.bin"/><Relationship Id="rId100" Type="http://schemas.openxmlformats.org/officeDocument/2006/relationships/oleObject" Target="../embeddings/oleObject97.bin"/><Relationship Id="rId105" Type="http://schemas.openxmlformats.org/officeDocument/2006/relationships/oleObject" Target="../embeddings/oleObject102.bin"/><Relationship Id="rId126" Type="http://schemas.openxmlformats.org/officeDocument/2006/relationships/oleObject" Target="../embeddings/oleObject123.bin"/><Relationship Id="rId147" Type="http://schemas.openxmlformats.org/officeDocument/2006/relationships/oleObject" Target="../embeddings/oleObject144.bin"/><Relationship Id="rId168" Type="http://schemas.openxmlformats.org/officeDocument/2006/relationships/oleObject" Target="../embeddings/oleObject165.bin"/><Relationship Id="rId8" Type="http://schemas.openxmlformats.org/officeDocument/2006/relationships/oleObject" Target="../embeddings/oleObject5.bin"/><Relationship Id="rId51" Type="http://schemas.openxmlformats.org/officeDocument/2006/relationships/oleObject" Target="../embeddings/oleObject48.bin"/><Relationship Id="rId72" Type="http://schemas.openxmlformats.org/officeDocument/2006/relationships/oleObject" Target="../embeddings/oleObject69.bin"/><Relationship Id="rId93" Type="http://schemas.openxmlformats.org/officeDocument/2006/relationships/oleObject" Target="../embeddings/oleObject90.bin"/><Relationship Id="rId98" Type="http://schemas.openxmlformats.org/officeDocument/2006/relationships/oleObject" Target="../embeddings/oleObject95.bin"/><Relationship Id="rId121" Type="http://schemas.openxmlformats.org/officeDocument/2006/relationships/oleObject" Target="../embeddings/oleObject118.bin"/><Relationship Id="rId142" Type="http://schemas.openxmlformats.org/officeDocument/2006/relationships/oleObject" Target="../embeddings/oleObject139.bin"/><Relationship Id="rId163" Type="http://schemas.openxmlformats.org/officeDocument/2006/relationships/oleObject" Target="../embeddings/oleObject160.bin"/><Relationship Id="rId184" Type="http://schemas.openxmlformats.org/officeDocument/2006/relationships/oleObject" Target="../embeddings/oleObject181.bin"/><Relationship Id="rId189" Type="http://schemas.openxmlformats.org/officeDocument/2006/relationships/oleObject" Target="../embeddings/oleObject186.bin"/><Relationship Id="rId219" Type="http://schemas.openxmlformats.org/officeDocument/2006/relationships/oleObject" Target="../embeddings/oleObject216.bin"/><Relationship Id="rId3" Type="http://schemas.openxmlformats.org/officeDocument/2006/relationships/vmlDrawing" Target="../drawings/vmlDrawing1.vml"/><Relationship Id="rId214" Type="http://schemas.openxmlformats.org/officeDocument/2006/relationships/oleObject" Target="../embeddings/oleObject211.bin"/><Relationship Id="rId25" Type="http://schemas.openxmlformats.org/officeDocument/2006/relationships/oleObject" Target="../embeddings/oleObject22.bin"/><Relationship Id="rId46" Type="http://schemas.openxmlformats.org/officeDocument/2006/relationships/oleObject" Target="../embeddings/oleObject43.bin"/><Relationship Id="rId67" Type="http://schemas.openxmlformats.org/officeDocument/2006/relationships/oleObject" Target="../embeddings/oleObject64.bin"/><Relationship Id="rId116" Type="http://schemas.openxmlformats.org/officeDocument/2006/relationships/oleObject" Target="../embeddings/oleObject113.bin"/><Relationship Id="rId137" Type="http://schemas.openxmlformats.org/officeDocument/2006/relationships/oleObject" Target="../embeddings/oleObject134.bin"/><Relationship Id="rId158" Type="http://schemas.openxmlformats.org/officeDocument/2006/relationships/oleObject" Target="../embeddings/oleObject155.bin"/><Relationship Id="rId20" Type="http://schemas.openxmlformats.org/officeDocument/2006/relationships/oleObject" Target="../embeddings/oleObject17.bin"/><Relationship Id="rId41" Type="http://schemas.openxmlformats.org/officeDocument/2006/relationships/oleObject" Target="../embeddings/oleObject38.bin"/><Relationship Id="rId62" Type="http://schemas.openxmlformats.org/officeDocument/2006/relationships/oleObject" Target="../embeddings/oleObject59.bin"/><Relationship Id="rId83" Type="http://schemas.openxmlformats.org/officeDocument/2006/relationships/oleObject" Target="../embeddings/oleObject80.bin"/><Relationship Id="rId88" Type="http://schemas.openxmlformats.org/officeDocument/2006/relationships/oleObject" Target="../embeddings/oleObject85.bin"/><Relationship Id="rId111" Type="http://schemas.openxmlformats.org/officeDocument/2006/relationships/oleObject" Target="../embeddings/oleObject108.bin"/><Relationship Id="rId132" Type="http://schemas.openxmlformats.org/officeDocument/2006/relationships/oleObject" Target="../embeddings/oleObject129.bin"/><Relationship Id="rId153" Type="http://schemas.openxmlformats.org/officeDocument/2006/relationships/oleObject" Target="../embeddings/oleObject150.bin"/><Relationship Id="rId174" Type="http://schemas.openxmlformats.org/officeDocument/2006/relationships/oleObject" Target="../embeddings/oleObject171.bin"/><Relationship Id="rId179" Type="http://schemas.openxmlformats.org/officeDocument/2006/relationships/oleObject" Target="../embeddings/oleObject176.bin"/><Relationship Id="rId195" Type="http://schemas.openxmlformats.org/officeDocument/2006/relationships/oleObject" Target="../embeddings/oleObject192.bin"/><Relationship Id="rId209" Type="http://schemas.openxmlformats.org/officeDocument/2006/relationships/oleObject" Target="../embeddings/oleObject206.bin"/><Relationship Id="rId190" Type="http://schemas.openxmlformats.org/officeDocument/2006/relationships/oleObject" Target="../embeddings/oleObject187.bin"/><Relationship Id="rId204" Type="http://schemas.openxmlformats.org/officeDocument/2006/relationships/oleObject" Target="../embeddings/oleObject201.bin"/><Relationship Id="rId220" Type="http://schemas.openxmlformats.org/officeDocument/2006/relationships/oleObject" Target="../embeddings/oleObject217.bin"/><Relationship Id="rId225" Type="http://schemas.openxmlformats.org/officeDocument/2006/relationships/oleObject" Target="../embeddings/oleObject222.bin"/><Relationship Id="rId15" Type="http://schemas.openxmlformats.org/officeDocument/2006/relationships/oleObject" Target="../embeddings/oleObject12.bin"/><Relationship Id="rId36" Type="http://schemas.openxmlformats.org/officeDocument/2006/relationships/oleObject" Target="../embeddings/oleObject33.bin"/><Relationship Id="rId57" Type="http://schemas.openxmlformats.org/officeDocument/2006/relationships/oleObject" Target="../embeddings/oleObject54.bin"/><Relationship Id="rId106" Type="http://schemas.openxmlformats.org/officeDocument/2006/relationships/oleObject" Target="../embeddings/oleObject103.bin"/><Relationship Id="rId127" Type="http://schemas.openxmlformats.org/officeDocument/2006/relationships/oleObject" Target="../embeddings/oleObject124.bin"/><Relationship Id="rId10" Type="http://schemas.openxmlformats.org/officeDocument/2006/relationships/oleObject" Target="../embeddings/oleObject7.bin"/><Relationship Id="rId31" Type="http://schemas.openxmlformats.org/officeDocument/2006/relationships/oleObject" Target="../embeddings/oleObject28.bin"/><Relationship Id="rId52" Type="http://schemas.openxmlformats.org/officeDocument/2006/relationships/oleObject" Target="../embeddings/oleObject49.bin"/><Relationship Id="rId73" Type="http://schemas.openxmlformats.org/officeDocument/2006/relationships/oleObject" Target="../embeddings/oleObject70.bin"/><Relationship Id="rId78" Type="http://schemas.openxmlformats.org/officeDocument/2006/relationships/oleObject" Target="../embeddings/oleObject75.bin"/><Relationship Id="rId94" Type="http://schemas.openxmlformats.org/officeDocument/2006/relationships/oleObject" Target="../embeddings/oleObject91.bin"/><Relationship Id="rId99" Type="http://schemas.openxmlformats.org/officeDocument/2006/relationships/oleObject" Target="../embeddings/oleObject96.bin"/><Relationship Id="rId101" Type="http://schemas.openxmlformats.org/officeDocument/2006/relationships/oleObject" Target="../embeddings/oleObject98.bin"/><Relationship Id="rId122" Type="http://schemas.openxmlformats.org/officeDocument/2006/relationships/oleObject" Target="../embeddings/oleObject119.bin"/><Relationship Id="rId143" Type="http://schemas.openxmlformats.org/officeDocument/2006/relationships/oleObject" Target="../embeddings/oleObject140.bin"/><Relationship Id="rId148" Type="http://schemas.openxmlformats.org/officeDocument/2006/relationships/oleObject" Target="../embeddings/oleObject145.bin"/><Relationship Id="rId164" Type="http://schemas.openxmlformats.org/officeDocument/2006/relationships/oleObject" Target="../embeddings/oleObject161.bin"/><Relationship Id="rId169" Type="http://schemas.openxmlformats.org/officeDocument/2006/relationships/oleObject" Target="../embeddings/oleObject166.bin"/><Relationship Id="rId185" Type="http://schemas.openxmlformats.org/officeDocument/2006/relationships/oleObject" Target="../embeddings/oleObject182.bin"/><Relationship Id="rId4" Type="http://schemas.openxmlformats.org/officeDocument/2006/relationships/oleObject" Target="../embeddings/oleObject1.bin"/><Relationship Id="rId9" Type="http://schemas.openxmlformats.org/officeDocument/2006/relationships/oleObject" Target="../embeddings/oleObject6.bin"/><Relationship Id="rId180" Type="http://schemas.openxmlformats.org/officeDocument/2006/relationships/oleObject" Target="../embeddings/oleObject177.bin"/><Relationship Id="rId210" Type="http://schemas.openxmlformats.org/officeDocument/2006/relationships/oleObject" Target="../embeddings/oleObject207.bin"/><Relationship Id="rId215" Type="http://schemas.openxmlformats.org/officeDocument/2006/relationships/oleObject" Target="../embeddings/oleObject212.bin"/><Relationship Id="rId26" Type="http://schemas.openxmlformats.org/officeDocument/2006/relationships/oleObject" Target="../embeddings/oleObject23.bin"/><Relationship Id="rId47" Type="http://schemas.openxmlformats.org/officeDocument/2006/relationships/oleObject" Target="../embeddings/oleObject44.bin"/><Relationship Id="rId68" Type="http://schemas.openxmlformats.org/officeDocument/2006/relationships/oleObject" Target="../embeddings/oleObject65.bin"/><Relationship Id="rId89" Type="http://schemas.openxmlformats.org/officeDocument/2006/relationships/oleObject" Target="../embeddings/oleObject86.bin"/><Relationship Id="rId112" Type="http://schemas.openxmlformats.org/officeDocument/2006/relationships/oleObject" Target="../embeddings/oleObject109.bin"/><Relationship Id="rId133" Type="http://schemas.openxmlformats.org/officeDocument/2006/relationships/oleObject" Target="../embeddings/oleObject130.bin"/><Relationship Id="rId154" Type="http://schemas.openxmlformats.org/officeDocument/2006/relationships/oleObject" Target="../embeddings/oleObject151.bin"/><Relationship Id="rId175" Type="http://schemas.openxmlformats.org/officeDocument/2006/relationships/oleObject" Target="../embeddings/oleObject172.bin"/><Relationship Id="rId196" Type="http://schemas.openxmlformats.org/officeDocument/2006/relationships/oleObject" Target="../embeddings/oleObject193.bin"/><Relationship Id="rId200" Type="http://schemas.openxmlformats.org/officeDocument/2006/relationships/oleObject" Target="../embeddings/oleObject197.bin"/><Relationship Id="rId16" Type="http://schemas.openxmlformats.org/officeDocument/2006/relationships/oleObject" Target="../embeddings/oleObject13.bin"/><Relationship Id="rId221" Type="http://schemas.openxmlformats.org/officeDocument/2006/relationships/oleObject" Target="../embeddings/oleObject218.bin"/><Relationship Id="rId37" Type="http://schemas.openxmlformats.org/officeDocument/2006/relationships/oleObject" Target="../embeddings/oleObject34.bin"/><Relationship Id="rId58" Type="http://schemas.openxmlformats.org/officeDocument/2006/relationships/oleObject" Target="../embeddings/oleObject55.bin"/><Relationship Id="rId79" Type="http://schemas.openxmlformats.org/officeDocument/2006/relationships/oleObject" Target="../embeddings/oleObject76.bin"/><Relationship Id="rId102" Type="http://schemas.openxmlformats.org/officeDocument/2006/relationships/oleObject" Target="../embeddings/oleObject99.bin"/><Relationship Id="rId123" Type="http://schemas.openxmlformats.org/officeDocument/2006/relationships/oleObject" Target="../embeddings/oleObject120.bin"/><Relationship Id="rId144" Type="http://schemas.openxmlformats.org/officeDocument/2006/relationships/oleObject" Target="../embeddings/oleObject141.bin"/><Relationship Id="rId90" Type="http://schemas.openxmlformats.org/officeDocument/2006/relationships/oleObject" Target="../embeddings/oleObject87.bin"/><Relationship Id="rId165" Type="http://schemas.openxmlformats.org/officeDocument/2006/relationships/oleObject" Target="../embeddings/oleObject162.bin"/><Relationship Id="rId186" Type="http://schemas.openxmlformats.org/officeDocument/2006/relationships/oleObject" Target="../embeddings/oleObject18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224.bin"/><Relationship Id="rId2" Type="http://schemas.openxmlformats.org/officeDocument/2006/relationships/oleObject" Target="../embeddings/oleObject223.bin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opLeftCell="A22" workbookViewId="0">
      <selection activeCell="H8" sqref="H8"/>
    </sheetView>
  </sheetViews>
  <sheetFormatPr baseColWidth="10" defaultColWidth="11.42578125" defaultRowHeight="12.75"/>
  <cols>
    <col min="1" max="1" width="9.5703125" style="5" customWidth="1"/>
    <col min="2" max="3" width="12" style="5" customWidth="1"/>
    <col min="4" max="4" width="12.140625" style="5" customWidth="1"/>
    <col min="5" max="5" width="11.28515625" style="5" customWidth="1"/>
    <col min="6" max="6" width="11.140625" style="5" customWidth="1"/>
    <col min="7" max="7" width="8.7109375" style="5" customWidth="1"/>
    <col min="8" max="8" width="9" style="5" customWidth="1"/>
    <col min="9" max="16384" width="11.42578125" style="5"/>
  </cols>
  <sheetData>
    <row r="1" spans="1:9" ht="15">
      <c r="G1"/>
      <c r="H1"/>
      <c r="I1"/>
    </row>
    <row r="2" spans="1:9" ht="15">
      <c r="G2" t="s">
        <v>1</v>
      </c>
      <c r="H2" t="s">
        <v>2</v>
      </c>
      <c r="I2"/>
    </row>
    <row r="3" spans="1:9" ht="15">
      <c r="G3"/>
      <c r="H3"/>
      <c r="I3"/>
    </row>
    <row r="4" spans="1:9" ht="15.75" thickBot="1">
      <c r="G4"/>
      <c r="H4"/>
      <c r="I4"/>
    </row>
    <row r="5" spans="1:9" ht="15.75" thickTop="1">
      <c r="A5" s="18" t="s">
        <v>5</v>
      </c>
      <c r="B5" s="20" t="s">
        <v>6</v>
      </c>
      <c r="C5" s="22" t="s">
        <v>7</v>
      </c>
      <c r="D5" s="24" t="s">
        <v>6</v>
      </c>
      <c r="E5" s="26" t="s">
        <v>5</v>
      </c>
      <c r="F5" s="505" t="s">
        <v>8</v>
      </c>
      <c r="G5" s="2" t="s">
        <v>3</v>
      </c>
      <c r="H5" s="2" t="s">
        <v>4</v>
      </c>
      <c r="I5" s="4" t="s">
        <v>0</v>
      </c>
    </row>
    <row r="6" spans="1:9" ht="15">
      <c r="A6" s="19"/>
      <c r="B6" s="21"/>
      <c r="C6" s="23"/>
      <c r="D6" s="25"/>
      <c r="E6" s="27"/>
      <c r="F6" s="506"/>
      <c r="G6" s="2">
        <v>1</v>
      </c>
      <c r="H6" s="3">
        <f>(G6/(4.76+0.83*G6))*25</f>
        <v>4.4722719141323797</v>
      </c>
      <c r="I6"/>
    </row>
    <row r="7" spans="1:9" ht="15.75">
      <c r="A7" s="6">
        <v>2875</v>
      </c>
      <c r="B7" s="7">
        <v>85</v>
      </c>
      <c r="C7" s="7">
        <v>3450</v>
      </c>
      <c r="D7" s="8">
        <v>140</v>
      </c>
      <c r="E7" s="9">
        <v>4025</v>
      </c>
      <c r="F7" s="10">
        <v>245</v>
      </c>
      <c r="G7" s="2">
        <f>G6+1</f>
        <v>2</v>
      </c>
      <c r="H7" s="3">
        <f t="shared" ref="H7:H33" si="0">(G7/(4.76+0.83*G7))*25</f>
        <v>7.7881619937694699</v>
      </c>
      <c r="I7"/>
    </row>
    <row r="8" spans="1:9" ht="15.75">
      <c r="A8" s="6">
        <v>2900</v>
      </c>
      <c r="B8" s="7">
        <v>90</v>
      </c>
      <c r="C8" s="7">
        <v>3475</v>
      </c>
      <c r="D8" s="8">
        <v>140</v>
      </c>
      <c r="E8" s="9">
        <v>4050</v>
      </c>
      <c r="F8" s="10">
        <v>250</v>
      </c>
      <c r="G8" s="2">
        <f t="shared" ref="G8:G33" si="1">G7+1</f>
        <v>3</v>
      </c>
      <c r="H8" s="3">
        <f t="shared" si="0"/>
        <v>10.344827586206897</v>
      </c>
      <c r="I8"/>
    </row>
    <row r="9" spans="1:9" ht="15.75">
      <c r="A9" s="6">
        <v>2925</v>
      </c>
      <c r="B9" s="7">
        <v>90</v>
      </c>
      <c r="C9" s="7">
        <v>3500</v>
      </c>
      <c r="D9" s="8">
        <v>145</v>
      </c>
      <c r="E9" s="9">
        <v>4075</v>
      </c>
      <c r="F9" s="10">
        <v>260</v>
      </c>
      <c r="G9" s="2">
        <f t="shared" si="1"/>
        <v>4</v>
      </c>
      <c r="H9" s="3">
        <f t="shared" si="0"/>
        <v>12.376237623762377</v>
      </c>
      <c r="I9"/>
    </row>
    <row r="10" spans="1:9" ht="15.75">
      <c r="A10" s="6">
        <v>2950</v>
      </c>
      <c r="B10" s="7">
        <v>95</v>
      </c>
      <c r="C10" s="7">
        <v>3525</v>
      </c>
      <c r="D10" s="8">
        <v>145</v>
      </c>
      <c r="E10" s="9">
        <v>4100</v>
      </c>
      <c r="F10" s="10">
        <v>265</v>
      </c>
      <c r="G10" s="2">
        <f t="shared" si="1"/>
        <v>5</v>
      </c>
      <c r="H10" s="3">
        <f t="shared" si="0"/>
        <v>14.029180695847362</v>
      </c>
      <c r="I10"/>
    </row>
    <row r="11" spans="1:9" ht="15.75">
      <c r="A11" s="6">
        <v>2975</v>
      </c>
      <c r="B11" s="7">
        <v>95</v>
      </c>
      <c r="C11" s="7">
        <v>3550</v>
      </c>
      <c r="D11" s="8">
        <v>150</v>
      </c>
      <c r="E11" s="9">
        <v>4125</v>
      </c>
      <c r="F11" s="10">
        <v>270</v>
      </c>
      <c r="G11" s="2">
        <f t="shared" si="1"/>
        <v>6</v>
      </c>
      <c r="H11" s="3">
        <f t="shared" si="0"/>
        <v>15.400410677618073</v>
      </c>
      <c r="I11"/>
    </row>
    <row r="12" spans="1:9" ht="15.75">
      <c r="A12" s="6">
        <v>3000</v>
      </c>
      <c r="B12" s="7">
        <v>100</v>
      </c>
      <c r="C12" s="7">
        <v>3575</v>
      </c>
      <c r="D12" s="8">
        <v>150</v>
      </c>
      <c r="E12" s="9">
        <v>4150</v>
      </c>
      <c r="F12" s="10">
        <v>275</v>
      </c>
      <c r="G12" s="2">
        <f t="shared" si="1"/>
        <v>7</v>
      </c>
      <c r="H12" s="3">
        <f t="shared" si="0"/>
        <v>16.556291390728475</v>
      </c>
      <c r="I12"/>
    </row>
    <row r="13" spans="1:9" ht="15.75">
      <c r="A13" s="6">
        <v>3025</v>
      </c>
      <c r="B13" s="7">
        <v>100</v>
      </c>
      <c r="C13" s="7">
        <v>3600</v>
      </c>
      <c r="D13" s="8">
        <v>155</v>
      </c>
      <c r="E13" s="9">
        <v>4175</v>
      </c>
      <c r="F13" s="10">
        <v>280</v>
      </c>
      <c r="G13" s="2">
        <f t="shared" si="1"/>
        <v>8</v>
      </c>
      <c r="H13" s="3">
        <f t="shared" si="0"/>
        <v>17.543859649122808</v>
      </c>
      <c r="I13"/>
    </row>
    <row r="14" spans="1:9" ht="15.75">
      <c r="A14" s="6">
        <v>3050</v>
      </c>
      <c r="B14" s="7">
        <v>100</v>
      </c>
      <c r="C14" s="7">
        <v>3625</v>
      </c>
      <c r="D14" s="8">
        <v>160</v>
      </c>
      <c r="E14" s="9">
        <v>4200</v>
      </c>
      <c r="F14" s="10">
        <v>290</v>
      </c>
      <c r="G14" s="2">
        <f t="shared" si="1"/>
        <v>9</v>
      </c>
      <c r="H14" s="3">
        <f t="shared" si="0"/>
        <v>18.397383483237938</v>
      </c>
      <c r="I14"/>
    </row>
    <row r="15" spans="1:9" ht="15.75">
      <c r="A15" s="6">
        <v>3075</v>
      </c>
      <c r="B15" s="7">
        <v>105</v>
      </c>
      <c r="C15" s="7">
        <v>3650</v>
      </c>
      <c r="D15" s="8">
        <v>160</v>
      </c>
      <c r="E15" s="9">
        <v>4225</v>
      </c>
      <c r="F15" s="10">
        <v>295</v>
      </c>
      <c r="G15" s="2">
        <f t="shared" si="1"/>
        <v>10</v>
      </c>
      <c r="H15" s="3">
        <f t="shared" si="0"/>
        <v>19.142419601837673</v>
      </c>
      <c r="I15"/>
    </row>
    <row r="16" spans="1:9" ht="15.75">
      <c r="A16" s="6">
        <v>3100</v>
      </c>
      <c r="B16" s="7">
        <v>105</v>
      </c>
      <c r="C16" s="7">
        <v>3675</v>
      </c>
      <c r="D16" s="8">
        <v>165</v>
      </c>
      <c r="E16" s="9">
        <v>4250</v>
      </c>
      <c r="F16" s="10">
        <v>305</v>
      </c>
      <c r="G16" s="2">
        <f t="shared" si="1"/>
        <v>11</v>
      </c>
      <c r="H16" s="3">
        <f t="shared" si="0"/>
        <v>19.798416126709864</v>
      </c>
      <c r="I16"/>
    </row>
    <row r="17" spans="1:9" ht="15.75">
      <c r="A17" s="6">
        <v>3125</v>
      </c>
      <c r="B17" s="7">
        <v>110</v>
      </c>
      <c r="C17" s="7">
        <v>3700</v>
      </c>
      <c r="D17" s="8">
        <v>170</v>
      </c>
      <c r="E17" s="9">
        <v>4275</v>
      </c>
      <c r="F17" s="10">
        <v>310</v>
      </c>
      <c r="G17" s="2">
        <f t="shared" si="1"/>
        <v>12</v>
      </c>
      <c r="H17" s="3">
        <f t="shared" si="0"/>
        <v>20.380434782608699</v>
      </c>
      <c r="I17"/>
    </row>
    <row r="18" spans="1:9" ht="15.75">
      <c r="A18" s="6">
        <v>3150</v>
      </c>
      <c r="B18" s="7">
        <v>110</v>
      </c>
      <c r="C18" s="7">
        <v>3725</v>
      </c>
      <c r="D18" s="8">
        <v>170</v>
      </c>
      <c r="E18" s="9">
        <v>4300</v>
      </c>
      <c r="F18" s="10">
        <v>320</v>
      </c>
      <c r="G18" s="2">
        <f t="shared" si="1"/>
        <v>13</v>
      </c>
      <c r="H18" s="3">
        <f t="shared" si="0"/>
        <v>20.900321543408364</v>
      </c>
      <c r="I18"/>
    </row>
    <row r="19" spans="1:9" ht="15.75">
      <c r="A19" s="6">
        <v>3175</v>
      </c>
      <c r="B19" s="7">
        <v>110</v>
      </c>
      <c r="C19" s="7">
        <v>3750</v>
      </c>
      <c r="D19" s="8">
        <v>175</v>
      </c>
      <c r="E19" s="9">
        <v>4325</v>
      </c>
      <c r="F19" s="10">
        <v>325</v>
      </c>
      <c r="G19" s="2">
        <f t="shared" si="1"/>
        <v>14</v>
      </c>
      <c r="H19" s="3">
        <f t="shared" si="0"/>
        <v>21.36752136752137</v>
      </c>
      <c r="I19"/>
    </row>
    <row r="20" spans="1:9" ht="15.75">
      <c r="A20" s="6">
        <v>3200</v>
      </c>
      <c r="B20" s="7">
        <v>115</v>
      </c>
      <c r="C20" s="7">
        <v>3775</v>
      </c>
      <c r="D20" s="8">
        <v>180</v>
      </c>
      <c r="E20" s="9">
        <v>4350</v>
      </c>
      <c r="F20" s="10">
        <v>330</v>
      </c>
      <c r="G20" s="2">
        <f t="shared" si="1"/>
        <v>15</v>
      </c>
      <c r="H20" s="3">
        <f t="shared" si="0"/>
        <v>21.78965717606043</v>
      </c>
      <c r="I20"/>
    </row>
    <row r="21" spans="1:9" ht="15.75">
      <c r="A21" s="6">
        <v>3225</v>
      </c>
      <c r="B21" s="7">
        <v>115</v>
      </c>
      <c r="C21" s="7">
        <v>3800</v>
      </c>
      <c r="D21" s="8">
        <v>185</v>
      </c>
      <c r="E21" s="9">
        <v>4375</v>
      </c>
      <c r="F21" s="10">
        <v>335</v>
      </c>
      <c r="G21" s="2">
        <f t="shared" si="1"/>
        <v>16</v>
      </c>
      <c r="H21" s="3">
        <f t="shared" si="0"/>
        <v>22.172949002217297</v>
      </c>
      <c r="I21"/>
    </row>
    <row r="22" spans="1:9" ht="15.75">
      <c r="A22" s="6">
        <v>3250</v>
      </c>
      <c r="B22" s="7">
        <v>120</v>
      </c>
      <c r="C22" s="7">
        <v>3825</v>
      </c>
      <c r="D22" s="8">
        <v>190</v>
      </c>
      <c r="E22" s="9">
        <v>4400</v>
      </c>
      <c r="F22" s="10">
        <v>340</v>
      </c>
      <c r="G22" s="2">
        <f t="shared" si="1"/>
        <v>17</v>
      </c>
      <c r="H22" s="3">
        <f t="shared" si="0"/>
        <v>22.522522522522525</v>
      </c>
      <c r="I22"/>
    </row>
    <row r="23" spans="1:9" ht="16.5" thickBot="1">
      <c r="A23" s="11">
        <v>3275</v>
      </c>
      <c r="B23" s="12">
        <v>120</v>
      </c>
      <c r="C23" s="13">
        <v>3850</v>
      </c>
      <c r="D23" s="14">
        <v>195</v>
      </c>
      <c r="E23" s="9">
        <v>4425</v>
      </c>
      <c r="F23" s="10">
        <v>350</v>
      </c>
      <c r="G23" s="2">
        <f t="shared" si="1"/>
        <v>18</v>
      </c>
      <c r="H23" s="3">
        <f t="shared" si="0"/>
        <v>22.842639593908633</v>
      </c>
      <c r="I23"/>
    </row>
    <row r="24" spans="1:9" ht="16.5" thickTop="1">
      <c r="A24" s="6">
        <v>3300</v>
      </c>
      <c r="B24" s="8">
        <v>125</v>
      </c>
      <c r="C24" s="15">
        <v>3875</v>
      </c>
      <c r="D24" s="16">
        <v>200</v>
      </c>
      <c r="E24" s="10">
        <v>4450</v>
      </c>
      <c r="F24" s="10">
        <v>360</v>
      </c>
      <c r="G24" s="2">
        <f t="shared" si="1"/>
        <v>19</v>
      </c>
      <c r="H24" s="3">
        <f t="shared" si="0"/>
        <v>23.136872868972237</v>
      </c>
      <c r="I24"/>
    </row>
    <row r="25" spans="1:9" ht="15.75">
      <c r="A25" s="6">
        <v>3325</v>
      </c>
      <c r="B25" s="8">
        <v>125</v>
      </c>
      <c r="C25" s="9">
        <v>3900</v>
      </c>
      <c r="D25" s="10">
        <v>210</v>
      </c>
      <c r="E25" s="10">
        <v>4475</v>
      </c>
      <c r="F25" s="10">
        <v>390</v>
      </c>
      <c r="G25" s="2">
        <f t="shared" si="1"/>
        <v>20</v>
      </c>
      <c r="H25" s="3">
        <f t="shared" si="0"/>
        <v>23.408239700374533</v>
      </c>
      <c r="I25"/>
    </row>
    <row r="26" spans="1:9" ht="15.75">
      <c r="A26" s="6">
        <v>3350</v>
      </c>
      <c r="B26" s="8">
        <v>130</v>
      </c>
      <c r="C26" s="9">
        <v>3925</v>
      </c>
      <c r="D26" s="10">
        <v>220</v>
      </c>
      <c r="E26" s="10">
        <v>4500</v>
      </c>
      <c r="F26" s="10">
        <v>415</v>
      </c>
      <c r="G26" s="2">
        <f t="shared" si="1"/>
        <v>21</v>
      </c>
      <c r="H26" s="3">
        <f t="shared" si="0"/>
        <v>23.659305993690854</v>
      </c>
      <c r="I26"/>
    </row>
    <row r="27" spans="1:9" ht="15.75">
      <c r="A27" s="6">
        <v>3375</v>
      </c>
      <c r="B27" s="8">
        <v>130</v>
      </c>
      <c r="C27" s="9">
        <v>3950</v>
      </c>
      <c r="D27" s="10">
        <v>230</v>
      </c>
      <c r="E27" s="10">
        <v>4525</v>
      </c>
      <c r="F27" s="10">
        <v>420</v>
      </c>
      <c r="G27" s="2">
        <f t="shared" si="1"/>
        <v>22</v>
      </c>
      <c r="H27" s="3">
        <f t="shared" si="0"/>
        <v>23.892267593397051</v>
      </c>
      <c r="I27"/>
    </row>
    <row r="28" spans="1:9" ht="15.75">
      <c r="A28" s="6">
        <v>3400</v>
      </c>
      <c r="B28" s="8">
        <v>135</v>
      </c>
      <c r="C28" s="9">
        <v>3975</v>
      </c>
      <c r="D28" s="10">
        <v>235</v>
      </c>
      <c r="E28" s="10">
        <v>4550</v>
      </c>
      <c r="F28" s="10">
        <v>425</v>
      </c>
      <c r="G28" s="2">
        <f t="shared" si="1"/>
        <v>23</v>
      </c>
      <c r="H28" s="3">
        <f t="shared" si="0"/>
        <v>24.109014675052411</v>
      </c>
      <c r="I28"/>
    </row>
    <row r="29" spans="1:9" ht="16.5" thickBot="1">
      <c r="A29" s="17">
        <v>3425</v>
      </c>
      <c r="B29" s="14">
        <v>135</v>
      </c>
      <c r="C29" s="9">
        <v>4000</v>
      </c>
      <c r="D29" s="10">
        <v>240</v>
      </c>
      <c r="E29" s="10">
        <v>4575</v>
      </c>
      <c r="F29" s="10">
        <v>430</v>
      </c>
      <c r="G29" s="2">
        <f t="shared" si="1"/>
        <v>24</v>
      </c>
      <c r="H29" s="3">
        <f t="shared" si="0"/>
        <v>24.311183144246353</v>
      </c>
      <c r="I29"/>
    </row>
    <row r="30" spans="1:9" ht="15.75" thickTop="1">
      <c r="G30" s="2">
        <f t="shared" si="1"/>
        <v>25</v>
      </c>
      <c r="H30" s="3">
        <f t="shared" si="0"/>
        <v>24.500196001568014</v>
      </c>
      <c r="I30"/>
    </row>
    <row r="31" spans="1:9" ht="15">
      <c r="G31" s="2">
        <f t="shared" si="1"/>
        <v>26</v>
      </c>
      <c r="H31" s="3">
        <f t="shared" si="0"/>
        <v>24.677296886864088</v>
      </c>
      <c r="I31"/>
    </row>
    <row r="32" spans="1:9" ht="15">
      <c r="G32" s="2">
        <f t="shared" si="1"/>
        <v>27</v>
      </c>
      <c r="H32" s="3">
        <f t="shared" si="0"/>
        <v>24.843577475156419</v>
      </c>
      <c r="I32"/>
    </row>
    <row r="33" spans="7:9" ht="15">
      <c r="G33" s="2">
        <f t="shared" si="1"/>
        <v>28</v>
      </c>
      <c r="H33" s="3">
        <f t="shared" si="0"/>
        <v>25</v>
      </c>
      <c r="I33"/>
    </row>
  </sheetData>
  <mergeCells count="1">
    <mergeCell ref="F5:F6"/>
  </mergeCells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V722"/>
  <sheetViews>
    <sheetView tabSelected="1" topLeftCell="A526" workbookViewId="0">
      <selection activeCell="K543" sqref="K543"/>
    </sheetView>
  </sheetViews>
  <sheetFormatPr baseColWidth="10" defaultRowHeight="18.75"/>
  <cols>
    <col min="1" max="1" width="9.28515625" style="33" customWidth="1"/>
    <col min="2" max="2" width="11.42578125" style="34" customWidth="1"/>
    <col min="3" max="3" width="11.28515625" style="34" customWidth="1"/>
    <col min="4" max="4" width="11.140625" style="33" customWidth="1"/>
    <col min="5" max="5" width="11.42578125" style="33" customWidth="1"/>
    <col min="6" max="6" width="11.42578125" style="34" customWidth="1"/>
    <col min="7" max="7" width="11.42578125" style="33" customWidth="1"/>
    <col min="8" max="8" width="12.42578125" style="33" customWidth="1"/>
    <col min="9" max="9" width="7.42578125" style="33" customWidth="1"/>
    <col min="10" max="10" width="10.5703125" style="33" customWidth="1"/>
    <col min="11" max="11" width="8.140625" style="33" customWidth="1"/>
    <col min="12" max="12" width="11.140625" style="33" customWidth="1"/>
    <col min="13" max="13" width="11.42578125" style="33" customWidth="1"/>
    <col min="14" max="14" width="7.42578125" style="33" customWidth="1"/>
    <col min="15" max="15" width="3.85546875" style="33" customWidth="1"/>
    <col min="16" max="16" width="8.28515625" style="33" customWidth="1"/>
    <col min="17" max="17" width="3.85546875" style="33" customWidth="1"/>
    <col min="18" max="18" width="18.5703125" style="33" customWidth="1"/>
    <col min="19" max="16384" width="11.42578125" style="33"/>
  </cols>
  <sheetData>
    <row r="1" spans="1:11">
      <c r="A1" s="1"/>
      <c r="C1" s="66" t="s">
        <v>441</v>
      </c>
      <c r="D1" s="28"/>
      <c r="E1" s="628" t="s">
        <v>780</v>
      </c>
      <c r="F1" s="628"/>
      <c r="G1" s="628"/>
      <c r="H1" s="499"/>
      <c r="I1" s="629" t="s">
        <v>794</v>
      </c>
      <c r="J1" s="629"/>
      <c r="K1" s="629"/>
    </row>
    <row r="2" spans="1:11">
      <c r="A2" s="1"/>
      <c r="C2" s="43" t="s">
        <v>9</v>
      </c>
      <c r="D2" s="28"/>
      <c r="E2" s="635" t="s">
        <v>783</v>
      </c>
      <c r="F2" s="635"/>
      <c r="G2" s="635"/>
      <c r="H2" s="635"/>
      <c r="I2" s="635"/>
      <c r="J2" s="635"/>
      <c r="K2" s="29"/>
    </row>
    <row r="3" spans="1:11">
      <c r="A3" s="1"/>
      <c r="C3" s="33"/>
      <c r="F3" s="33"/>
      <c r="K3" s="29"/>
    </row>
    <row r="4" spans="1:11" ht="5.25" customHeight="1">
      <c r="A4" s="35"/>
      <c r="B4" s="36"/>
      <c r="C4" s="37"/>
      <c r="D4" s="35"/>
      <c r="E4" s="35"/>
      <c r="F4" s="38"/>
      <c r="G4" s="38"/>
      <c r="H4" s="38"/>
      <c r="I4" s="38"/>
      <c r="J4" s="38"/>
    </row>
    <row r="5" spans="1:11" ht="12" customHeight="1">
      <c r="A5" s="31"/>
      <c r="B5" s="32"/>
      <c r="C5" s="32"/>
      <c r="D5" s="31"/>
      <c r="E5" s="39"/>
      <c r="F5" s="40"/>
    </row>
    <row r="6" spans="1:11">
      <c r="A6" s="1" t="s">
        <v>666</v>
      </c>
      <c r="B6" s="28"/>
      <c r="C6" s="28"/>
      <c r="D6" s="1"/>
      <c r="E6" s="285"/>
      <c r="F6" s="293"/>
      <c r="G6" s="29"/>
      <c r="H6" s="29"/>
      <c r="I6" s="29"/>
      <c r="J6" s="29"/>
      <c r="K6" s="29"/>
    </row>
    <row r="7" spans="1:11" ht="15.75" customHeight="1">
      <c r="A7" s="1" t="s">
        <v>667</v>
      </c>
      <c r="B7" s="28"/>
      <c r="C7" s="294"/>
      <c r="D7" s="1"/>
      <c r="E7" s="1"/>
      <c r="F7" s="293"/>
      <c r="G7" s="29"/>
      <c r="H7" s="29"/>
      <c r="I7" s="29"/>
      <c r="J7" s="29"/>
      <c r="K7" s="29"/>
    </row>
    <row r="8" spans="1:11" ht="16.5" customHeight="1">
      <c r="A8" s="290" t="s">
        <v>784</v>
      </c>
      <c r="B8" s="30"/>
      <c r="C8" s="30"/>
      <c r="D8" s="29"/>
      <c r="E8" s="29"/>
      <c r="F8" s="30"/>
      <c r="G8" s="29"/>
      <c r="H8" s="29"/>
      <c r="I8" s="29"/>
      <c r="J8" s="29"/>
      <c r="K8" s="29"/>
    </row>
    <row r="9" spans="1:11" s="41" customFormat="1">
      <c r="A9" s="291" t="s">
        <v>442</v>
      </c>
      <c r="B9" s="295"/>
      <c r="C9" s="295"/>
      <c r="D9" s="296"/>
      <c r="E9" s="296"/>
      <c r="F9" s="297"/>
      <c r="G9" s="298"/>
      <c r="H9" s="298"/>
      <c r="I9" s="298"/>
      <c r="J9" s="298"/>
      <c r="K9" s="298"/>
    </row>
    <row r="10" spans="1:11">
      <c r="A10" s="368" t="s">
        <v>785</v>
      </c>
      <c r="B10" s="295"/>
      <c r="C10" s="299"/>
      <c r="D10" s="298"/>
      <c r="E10" s="298"/>
      <c r="F10" s="297"/>
      <c r="G10" s="310"/>
      <c r="H10" s="310"/>
      <c r="I10" s="310"/>
      <c r="J10" s="29"/>
      <c r="K10" s="29"/>
    </row>
    <row r="11" spans="1:11" ht="17.25" customHeight="1">
      <c r="A11" s="367" t="s">
        <v>774</v>
      </c>
      <c r="B11" s="295"/>
      <c r="C11" s="299"/>
      <c r="D11" s="298"/>
      <c r="E11" s="298"/>
      <c r="F11" s="297"/>
      <c r="G11" s="310"/>
      <c r="H11" s="310"/>
      <c r="I11" s="310"/>
      <c r="J11" s="29"/>
      <c r="K11" s="29"/>
    </row>
    <row r="12" spans="1:11" s="41" customFormat="1">
      <c r="A12" s="1" t="s">
        <v>668</v>
      </c>
      <c r="B12" s="295"/>
      <c r="C12" s="299"/>
      <c r="D12" s="298"/>
      <c r="E12" s="298"/>
      <c r="F12" s="297"/>
      <c r="G12" s="29"/>
      <c r="H12" s="29"/>
      <c r="I12" s="29"/>
      <c r="J12" s="29"/>
      <c r="K12" s="29"/>
    </row>
    <row r="13" spans="1:11" s="41" customFormat="1">
      <c r="A13" s="290" t="s">
        <v>11</v>
      </c>
      <c r="B13" s="300"/>
      <c r="C13" s="300"/>
      <c r="D13" s="300"/>
      <c r="E13" s="300"/>
      <c r="F13" s="300"/>
      <c r="G13" s="300"/>
      <c r="H13" s="300"/>
      <c r="I13" s="298"/>
      <c r="J13" s="298"/>
      <c r="K13" s="298"/>
    </row>
    <row r="14" spans="1:11" s="41" customFormat="1">
      <c r="A14" s="291" t="s">
        <v>786</v>
      </c>
      <c r="B14" s="300"/>
      <c r="D14" s="489" t="s">
        <v>795</v>
      </c>
      <c r="E14" s="300"/>
      <c r="F14" s="300"/>
      <c r="G14" s="300"/>
      <c r="H14" s="300"/>
      <c r="I14" s="298"/>
      <c r="J14" s="298"/>
      <c r="K14" s="298"/>
    </row>
    <row r="15" spans="1:11" s="41" customFormat="1">
      <c r="A15" s="301" t="s">
        <v>220</v>
      </c>
      <c r="B15" s="300"/>
      <c r="C15" s="300"/>
      <c r="D15" s="300"/>
      <c r="E15" s="300"/>
      <c r="F15" s="300"/>
      <c r="G15" s="300"/>
      <c r="H15" s="300"/>
      <c r="I15" s="298"/>
      <c r="J15" s="298"/>
      <c r="K15" s="298"/>
    </row>
    <row r="16" spans="1:11" s="41" customFormat="1">
      <c r="A16" s="291" t="s">
        <v>796</v>
      </c>
      <c r="B16" s="300"/>
      <c r="C16" s="300"/>
      <c r="D16" s="300"/>
      <c r="E16" s="300"/>
      <c r="F16" s="300"/>
      <c r="G16" s="300"/>
      <c r="H16" s="300"/>
      <c r="I16" s="298"/>
      <c r="J16" s="298"/>
      <c r="K16" s="298"/>
    </row>
    <row r="17" spans="1:11">
      <c r="A17" s="291" t="s">
        <v>797</v>
      </c>
      <c r="B17" s="300"/>
      <c r="C17" s="300"/>
      <c r="D17" s="300"/>
      <c r="E17" s="300"/>
      <c r="F17" s="300"/>
      <c r="G17" s="300"/>
      <c r="H17" s="300"/>
      <c r="I17" s="298"/>
      <c r="J17" s="298"/>
      <c r="K17" s="298"/>
    </row>
    <row r="18" spans="1:11">
      <c r="A18" s="1" t="s">
        <v>669</v>
      </c>
      <c r="B18" s="300"/>
      <c r="C18" s="300"/>
      <c r="D18" s="300"/>
      <c r="E18" s="300"/>
      <c r="F18" s="300"/>
      <c r="G18" s="302"/>
      <c r="H18" s="300"/>
      <c r="I18" s="29"/>
      <c r="J18" s="29"/>
      <c r="K18" s="29"/>
    </row>
    <row r="19" spans="1:11">
      <c r="A19" s="290" t="s">
        <v>670</v>
      </c>
      <c r="B19" s="300"/>
      <c r="C19" s="300"/>
      <c r="D19" s="300"/>
      <c r="E19" s="300"/>
      <c r="F19" s="300"/>
      <c r="G19" s="302"/>
      <c r="H19" s="300"/>
      <c r="I19" s="29"/>
      <c r="J19" s="29"/>
      <c r="K19" s="29"/>
    </row>
    <row r="20" spans="1:11">
      <c r="A20" s="290" t="s">
        <v>671</v>
      </c>
      <c r="B20" s="300"/>
      <c r="C20" s="300"/>
      <c r="D20" s="300"/>
      <c r="E20" s="300"/>
      <c r="F20" s="300"/>
      <c r="G20" s="302"/>
      <c r="H20" s="300"/>
      <c r="I20" s="29"/>
      <c r="J20" s="29"/>
      <c r="K20" s="29"/>
    </row>
    <row r="21" spans="1:11">
      <c r="A21" s="29" t="s">
        <v>71</v>
      </c>
      <c r="B21" s="300"/>
      <c r="C21" s="300"/>
      <c r="D21" s="300"/>
      <c r="E21" s="300"/>
      <c r="F21" s="300"/>
      <c r="G21" s="302"/>
      <c r="H21" s="300"/>
      <c r="I21" s="29"/>
      <c r="J21" s="29"/>
      <c r="K21" s="29"/>
    </row>
    <row r="22" spans="1:11">
      <c r="A22" s="303" t="s">
        <v>72</v>
      </c>
      <c r="B22" s="29"/>
      <c r="C22" s="29"/>
      <c r="D22" s="29"/>
      <c r="E22" s="29"/>
      <c r="F22" s="29"/>
      <c r="G22" s="304"/>
      <c r="H22" s="29"/>
      <c r="I22" s="29"/>
      <c r="J22" s="29"/>
      <c r="K22" s="29"/>
    </row>
    <row r="23" spans="1:11" ht="15.75" customHeight="1">
      <c r="A23" s="303" t="s">
        <v>73</v>
      </c>
      <c r="B23" s="29"/>
      <c r="C23" s="29"/>
      <c r="D23" s="29" t="s">
        <v>798</v>
      </c>
      <c r="E23" s="29"/>
      <c r="F23" s="29"/>
      <c r="G23" s="304"/>
      <c r="H23" s="29" t="s">
        <v>799</v>
      </c>
      <c r="I23" s="29"/>
      <c r="J23" s="29"/>
      <c r="K23" s="29"/>
    </row>
    <row r="24" spans="1:11">
      <c r="A24" s="290" t="s">
        <v>672</v>
      </c>
      <c r="B24" s="29"/>
      <c r="C24" s="29"/>
      <c r="D24" s="29"/>
      <c r="E24" s="29"/>
      <c r="F24" s="29"/>
      <c r="G24" s="304"/>
      <c r="H24" s="29"/>
      <c r="I24" s="29"/>
      <c r="J24" s="29"/>
      <c r="K24" s="29"/>
    </row>
    <row r="25" spans="1:11">
      <c r="A25" s="290" t="s">
        <v>787</v>
      </c>
      <c r="B25" s="29"/>
      <c r="C25" s="29"/>
      <c r="D25" s="29"/>
      <c r="E25" s="29"/>
      <c r="F25" s="29"/>
      <c r="G25" s="304"/>
      <c r="H25" s="29"/>
      <c r="I25" s="29"/>
      <c r="J25" s="29"/>
      <c r="K25" s="29"/>
    </row>
    <row r="26" spans="1:11">
      <c r="A26" s="304" t="s">
        <v>66</v>
      </c>
      <c r="B26" s="29"/>
      <c r="C26" s="29"/>
      <c r="D26" s="29"/>
      <c r="E26" s="29"/>
      <c r="F26" s="29"/>
      <c r="G26" s="304"/>
      <c r="H26" s="29"/>
      <c r="I26" s="29"/>
      <c r="J26" s="29"/>
      <c r="K26" s="29"/>
    </row>
    <row r="27" spans="1:11">
      <c r="A27" s="304" t="s">
        <v>74</v>
      </c>
      <c r="B27" s="29"/>
      <c r="C27" s="29"/>
      <c r="D27" s="29"/>
      <c r="E27" s="29"/>
      <c r="F27" s="29"/>
      <c r="G27" s="304"/>
      <c r="H27" s="503"/>
      <c r="I27" s="29"/>
      <c r="J27" s="29"/>
      <c r="K27" s="29"/>
    </row>
    <row r="28" spans="1:11">
      <c r="A28" s="29" t="s">
        <v>199</v>
      </c>
      <c r="B28" s="29"/>
      <c r="C28" s="29"/>
      <c r="D28" s="29"/>
      <c r="E28" s="29"/>
      <c r="F28" s="29"/>
      <c r="G28" s="304"/>
      <c r="H28" s="29"/>
      <c r="I28" s="29"/>
      <c r="J28" s="29"/>
      <c r="K28" s="29"/>
    </row>
    <row r="29" spans="1:11">
      <c r="A29" s="1" t="s">
        <v>673</v>
      </c>
      <c r="B29" s="300"/>
      <c r="C29" s="300"/>
      <c r="D29" s="300"/>
      <c r="E29" s="300"/>
      <c r="F29" s="300"/>
      <c r="G29" s="302"/>
      <c r="H29" s="29"/>
      <c r="I29" s="29"/>
      <c r="J29" s="29"/>
      <c r="K29" s="29"/>
    </row>
    <row r="30" spans="1:11">
      <c r="A30" s="290" t="s">
        <v>75</v>
      </c>
      <c r="B30" s="300"/>
      <c r="C30" s="300"/>
      <c r="D30" s="300"/>
      <c r="E30" s="300"/>
      <c r="F30" s="300"/>
      <c r="G30" s="302"/>
      <c r="H30" s="29"/>
      <c r="I30" s="29"/>
      <c r="J30" s="29"/>
      <c r="K30" s="29"/>
    </row>
    <row r="31" spans="1:11">
      <c r="A31" s="305" t="s">
        <v>76</v>
      </c>
      <c r="B31" s="300"/>
      <c r="C31" s="300"/>
      <c r="D31" s="300"/>
      <c r="E31" s="300"/>
      <c r="F31" s="300"/>
      <c r="G31" s="302"/>
      <c r="H31" s="29"/>
      <c r="I31" s="29"/>
      <c r="J31" s="29"/>
      <c r="K31" s="29"/>
    </row>
    <row r="32" spans="1:11">
      <c r="A32" s="291" t="s">
        <v>12</v>
      </c>
      <c r="B32" s="300"/>
      <c r="C32" s="300"/>
      <c r="D32" s="300"/>
      <c r="E32" s="300"/>
      <c r="F32" s="300"/>
      <c r="G32" s="302"/>
      <c r="H32" s="29"/>
      <c r="I32" s="29"/>
      <c r="J32" s="29"/>
      <c r="K32" s="29"/>
    </row>
    <row r="33" spans="1:11">
      <c r="A33" s="291" t="s">
        <v>13</v>
      </c>
      <c r="B33" s="300"/>
      <c r="C33" s="300"/>
      <c r="D33" s="300"/>
      <c r="E33" s="300"/>
      <c r="F33" s="300"/>
      <c r="G33" s="302"/>
      <c r="H33" s="29"/>
      <c r="I33" s="29"/>
      <c r="J33" s="29"/>
      <c r="K33" s="29"/>
    </row>
    <row r="34" spans="1:11" ht="22.5" customHeight="1">
      <c r="A34" s="291" t="s">
        <v>14</v>
      </c>
      <c r="B34" s="30"/>
      <c r="C34" s="30"/>
      <c r="D34" s="29"/>
      <c r="E34" s="29"/>
      <c r="F34" s="30"/>
      <c r="G34" s="29"/>
      <c r="H34" s="29"/>
      <c r="I34" s="29"/>
      <c r="J34" s="29"/>
      <c r="K34" s="29"/>
    </row>
    <row r="35" spans="1:11">
      <c r="A35" s="306" t="s">
        <v>15</v>
      </c>
      <c r="B35" s="30"/>
      <c r="C35" s="30"/>
      <c r="D35" s="29"/>
      <c r="E35" s="29"/>
      <c r="F35" s="30"/>
      <c r="G35" s="29"/>
      <c r="H35" s="29"/>
      <c r="I35" s="29"/>
      <c r="J35" s="29"/>
      <c r="K35" s="29"/>
    </row>
    <row r="36" spans="1:11">
      <c r="A36" s="1" t="s">
        <v>674</v>
      </c>
      <c r="B36" s="300"/>
      <c r="C36" s="300"/>
      <c r="D36" s="300"/>
      <c r="E36" s="300"/>
      <c r="F36" s="300"/>
      <c r="G36" s="302"/>
      <c r="H36" s="29"/>
      <c r="I36" s="29"/>
      <c r="J36" s="29"/>
      <c r="K36" s="29"/>
    </row>
    <row r="37" spans="1:11">
      <c r="A37" s="1" t="s">
        <v>675</v>
      </c>
      <c r="B37" s="300"/>
      <c r="C37" s="300"/>
      <c r="D37" s="300"/>
      <c r="E37" s="300"/>
      <c r="F37" s="300"/>
      <c r="G37" s="302"/>
      <c r="H37" s="29"/>
      <c r="I37" s="29"/>
      <c r="J37" s="29"/>
      <c r="K37" s="29"/>
    </row>
    <row r="38" spans="1:11">
      <c r="A38" s="1" t="s">
        <v>676</v>
      </c>
      <c r="B38" s="300"/>
      <c r="C38" s="300"/>
      <c r="D38" s="300"/>
      <c r="E38" s="300"/>
      <c r="F38" s="300"/>
      <c r="G38" s="300"/>
      <c r="H38" s="29"/>
      <c r="I38" s="29"/>
      <c r="J38" s="29"/>
      <c r="K38" s="29"/>
    </row>
    <row r="39" spans="1:11" ht="18" customHeight="1">
      <c r="A39" s="29"/>
      <c r="B39" s="29"/>
      <c r="C39" s="388">
        <v>25</v>
      </c>
      <c r="D39" s="29" t="s">
        <v>16</v>
      </c>
      <c r="E39" s="29"/>
      <c r="F39" s="30"/>
      <c r="G39" s="389">
        <f>0.6+(0.06*C39)</f>
        <v>2.1</v>
      </c>
      <c r="H39" s="29" t="s">
        <v>16</v>
      </c>
      <c r="I39" s="29"/>
      <c r="J39" s="29"/>
      <c r="K39" s="29"/>
    </row>
    <row r="40" spans="1:11" s="42" customFormat="1" ht="18" customHeight="1">
      <c r="A40" s="29"/>
      <c r="B40" s="30"/>
      <c r="C40" s="29"/>
      <c r="D40" s="29"/>
      <c r="E40" s="29"/>
      <c r="F40" s="30"/>
      <c r="G40" s="29"/>
      <c r="H40" s="29"/>
      <c r="I40" s="29"/>
      <c r="J40" s="29"/>
      <c r="K40" s="29"/>
    </row>
    <row r="41" spans="1:11">
      <c r="A41" s="29"/>
      <c r="B41" s="30"/>
      <c r="C41" s="30" t="s">
        <v>17</v>
      </c>
      <c r="D41" s="29"/>
      <c r="E41" s="29" t="s">
        <v>18</v>
      </c>
      <c r="F41" s="30"/>
      <c r="G41" s="29"/>
      <c r="H41" s="29"/>
      <c r="I41" s="29"/>
      <c r="J41" s="29"/>
      <c r="K41" s="29"/>
    </row>
    <row r="42" spans="1:11">
      <c r="A42" s="29"/>
      <c r="B42" s="29"/>
      <c r="C42" s="30"/>
      <c r="D42" s="29"/>
      <c r="E42" s="29" t="s">
        <v>19</v>
      </c>
      <c r="F42" s="30"/>
      <c r="G42" s="29"/>
      <c r="H42" s="29"/>
      <c r="I42" s="29"/>
      <c r="J42" s="29"/>
      <c r="K42" s="29"/>
    </row>
    <row r="43" spans="1:11">
      <c r="A43" s="29"/>
      <c r="B43" s="30"/>
      <c r="C43" s="30"/>
      <c r="D43" s="29"/>
      <c r="E43" s="29"/>
      <c r="F43" s="30"/>
      <c r="G43" s="29"/>
      <c r="H43" s="29"/>
      <c r="I43" s="29"/>
      <c r="J43" s="29"/>
      <c r="K43" s="29"/>
    </row>
    <row r="44" spans="1:11">
      <c r="A44" s="290" t="s">
        <v>20</v>
      </c>
      <c r="B44" s="30"/>
      <c r="C44" s="30"/>
      <c r="D44" s="29"/>
      <c r="E44" s="29"/>
      <c r="F44" s="30"/>
      <c r="G44" s="29"/>
      <c r="H44" s="29"/>
      <c r="I44" s="29"/>
      <c r="J44" s="307"/>
      <c r="K44" s="29"/>
    </row>
    <row r="45" spans="1:11">
      <c r="A45" s="291" t="s">
        <v>21</v>
      </c>
      <c r="B45" s="30"/>
      <c r="C45" s="30"/>
      <c r="D45" s="29"/>
      <c r="E45" s="29"/>
      <c r="F45" s="30"/>
      <c r="G45" s="29"/>
      <c r="H45" s="29"/>
      <c r="I45" s="29"/>
      <c r="J45" s="29"/>
      <c r="K45" s="29"/>
    </row>
    <row r="46" spans="1:11">
      <c r="A46" s="291" t="s">
        <v>22</v>
      </c>
      <c r="B46" s="30"/>
      <c r="C46" s="30"/>
      <c r="D46" s="29"/>
      <c r="E46" s="29"/>
      <c r="F46" s="30"/>
      <c r="G46" s="29"/>
      <c r="H46" s="29"/>
      <c r="I46" s="29"/>
      <c r="J46" s="29"/>
      <c r="K46" s="29"/>
    </row>
    <row r="47" spans="1:11">
      <c r="A47" s="29" t="s">
        <v>23</v>
      </c>
      <c r="B47" s="30"/>
      <c r="C47" s="30"/>
      <c r="D47" s="29"/>
      <c r="E47" s="29"/>
      <c r="F47" s="30"/>
      <c r="G47" s="29"/>
      <c r="H47" s="29"/>
      <c r="I47" s="29"/>
      <c r="J47" s="29"/>
      <c r="K47" s="29"/>
    </row>
    <row r="48" spans="1:11">
      <c r="A48" s="29"/>
      <c r="B48" s="30"/>
      <c r="C48" s="30"/>
      <c r="D48" s="29"/>
      <c r="E48" s="29"/>
      <c r="F48" s="30"/>
      <c r="G48" s="29"/>
      <c r="H48" s="29"/>
      <c r="I48" s="29"/>
      <c r="J48" s="29"/>
      <c r="K48" s="29"/>
    </row>
    <row r="49" spans="1:11">
      <c r="A49" s="29"/>
      <c r="B49" s="30"/>
      <c r="C49" s="30"/>
      <c r="D49" s="29"/>
      <c r="E49" s="29"/>
      <c r="F49" s="30"/>
      <c r="G49" s="29"/>
      <c r="H49" s="29"/>
      <c r="I49" s="29"/>
      <c r="J49" s="29"/>
      <c r="K49" s="29"/>
    </row>
    <row r="50" spans="1:11">
      <c r="A50" s="29"/>
      <c r="B50" s="30"/>
      <c r="C50" s="30"/>
      <c r="D50" s="29"/>
      <c r="E50" s="29"/>
      <c r="F50" s="30"/>
      <c r="G50" s="29"/>
      <c r="H50" s="29"/>
      <c r="I50" s="29"/>
      <c r="J50" s="29"/>
      <c r="K50" s="29"/>
    </row>
    <row r="51" spans="1:11">
      <c r="A51" s="29"/>
      <c r="B51" s="30"/>
      <c r="C51" s="30"/>
      <c r="D51" s="29"/>
      <c r="E51" s="29"/>
      <c r="F51" s="30"/>
      <c r="G51" s="29"/>
      <c r="H51" s="29"/>
      <c r="I51" s="29"/>
      <c r="J51" s="29"/>
      <c r="K51" s="29"/>
    </row>
    <row r="52" spans="1:11" ht="16.5" customHeight="1">
      <c r="A52" s="1" t="s">
        <v>677</v>
      </c>
      <c r="B52" s="30"/>
      <c r="C52" s="30"/>
      <c r="D52" s="29"/>
      <c r="E52" s="29"/>
      <c r="F52" s="30"/>
      <c r="G52" s="29"/>
      <c r="H52" s="29"/>
      <c r="I52" s="29"/>
      <c r="J52" s="29"/>
      <c r="K52" s="29"/>
    </row>
    <row r="53" spans="1:11">
      <c r="A53" s="29" t="s">
        <v>67</v>
      </c>
      <c r="B53" s="30"/>
      <c r="C53" s="30"/>
      <c r="D53" s="29"/>
      <c r="E53" s="29"/>
      <c r="F53" s="30"/>
      <c r="G53" s="415">
        <f>0.6*C39</f>
        <v>15</v>
      </c>
      <c r="H53" s="29" t="s">
        <v>16</v>
      </c>
      <c r="I53" s="29"/>
      <c r="J53" s="29"/>
      <c r="K53" s="29"/>
    </row>
    <row r="54" spans="1:11">
      <c r="A54" s="29"/>
      <c r="B54" s="308" t="s">
        <v>10</v>
      </c>
      <c r="C54" s="30"/>
      <c r="D54" s="29"/>
      <c r="E54" s="29"/>
      <c r="F54" s="29"/>
      <c r="G54" s="29"/>
      <c r="H54" s="29"/>
      <c r="I54" s="29"/>
      <c r="J54" s="29"/>
      <c r="K54" s="29"/>
    </row>
    <row r="55" spans="1:11">
      <c r="A55" s="1" t="s">
        <v>678</v>
      </c>
      <c r="B55" s="30"/>
      <c r="C55" s="30"/>
      <c r="D55" s="29"/>
      <c r="E55" s="29"/>
      <c r="F55" s="30"/>
      <c r="G55" s="29"/>
      <c r="H55" s="29"/>
      <c r="I55" s="29"/>
      <c r="J55" s="29"/>
      <c r="K55" s="29"/>
    </row>
    <row r="56" spans="1:11">
      <c r="A56" s="291" t="s">
        <v>24</v>
      </c>
      <c r="B56" s="30"/>
      <c r="C56" s="30"/>
      <c r="D56" s="29"/>
      <c r="E56" s="29"/>
      <c r="F56" s="30"/>
      <c r="G56" s="29"/>
      <c r="H56" s="29"/>
      <c r="I56" s="29"/>
      <c r="J56" s="29"/>
      <c r="K56" s="29"/>
    </row>
    <row r="57" spans="1:11">
      <c r="A57" s="29"/>
      <c r="B57" s="30"/>
      <c r="C57" s="30"/>
      <c r="D57" s="29"/>
      <c r="E57" s="29"/>
      <c r="F57" s="29"/>
      <c r="G57" s="29"/>
      <c r="H57" s="29"/>
      <c r="I57" s="29"/>
      <c r="J57" s="29"/>
      <c r="K57" s="29"/>
    </row>
    <row r="58" spans="1:11">
      <c r="A58" s="291" t="s">
        <v>25</v>
      </c>
      <c r="B58" s="30"/>
      <c r="C58" s="30"/>
      <c r="D58" s="29"/>
      <c r="E58" s="29"/>
      <c r="F58" s="30"/>
      <c r="G58" s="29"/>
      <c r="H58" s="29"/>
      <c r="I58" s="29"/>
      <c r="J58" s="29"/>
      <c r="K58" s="29"/>
    </row>
    <row r="59" spans="1:11">
      <c r="A59" s="29"/>
      <c r="B59" s="30"/>
      <c r="C59" s="30"/>
      <c r="D59" s="29"/>
      <c r="E59" s="29"/>
      <c r="F59" s="30"/>
      <c r="G59" s="29"/>
      <c r="H59" s="29"/>
      <c r="I59" s="29"/>
      <c r="J59" s="29"/>
      <c r="K59" s="29"/>
    </row>
    <row r="60" spans="1:11">
      <c r="A60" s="1" t="s">
        <v>679</v>
      </c>
      <c r="B60" s="30"/>
      <c r="C60" s="30"/>
      <c r="D60" s="29"/>
      <c r="E60" s="29"/>
      <c r="F60" s="30"/>
      <c r="G60" s="29"/>
      <c r="H60" s="29"/>
      <c r="I60" s="29"/>
      <c r="J60" s="29"/>
      <c r="K60" s="29"/>
    </row>
    <row r="61" spans="1:11">
      <c r="A61" s="291" t="s">
        <v>26</v>
      </c>
      <c r="B61" s="30"/>
      <c r="C61" s="30"/>
      <c r="D61" s="29"/>
      <c r="E61" s="29"/>
      <c r="F61" s="30"/>
      <c r="G61" s="29"/>
      <c r="H61" s="29"/>
      <c r="I61" s="29"/>
      <c r="J61" s="29"/>
      <c r="K61" s="29"/>
    </row>
    <row r="62" spans="1:11">
      <c r="A62" s="291" t="s">
        <v>27</v>
      </c>
      <c r="B62" s="30"/>
      <c r="C62" s="30"/>
      <c r="D62" s="29"/>
      <c r="E62" s="29"/>
      <c r="F62" s="30"/>
      <c r="G62" s="29"/>
      <c r="H62" s="29"/>
      <c r="I62" s="29"/>
      <c r="J62" s="29"/>
      <c r="K62" s="29"/>
    </row>
    <row r="63" spans="1:11">
      <c r="A63" s="29"/>
      <c r="B63" s="30"/>
      <c r="C63" s="30"/>
      <c r="D63" s="29"/>
      <c r="E63" s="29"/>
      <c r="F63" s="30"/>
      <c r="G63" s="29"/>
      <c r="H63" s="29"/>
      <c r="I63" s="29"/>
      <c r="J63" s="29"/>
      <c r="K63" s="29"/>
    </row>
    <row r="64" spans="1:11">
      <c r="A64" s="285" t="s">
        <v>680</v>
      </c>
      <c r="B64" s="30"/>
      <c r="C64" s="30"/>
      <c r="D64" s="29"/>
      <c r="E64" s="29"/>
      <c r="F64" s="30"/>
      <c r="G64" s="29"/>
      <c r="H64" s="29"/>
      <c r="I64" s="29"/>
      <c r="J64" s="29"/>
      <c r="K64" s="29"/>
    </row>
    <row r="65" spans="1:11">
      <c r="A65" s="290" t="s">
        <v>28</v>
      </c>
      <c r="B65" s="30"/>
      <c r="C65" s="30"/>
      <c r="D65" s="29"/>
      <c r="E65" s="29"/>
      <c r="F65" s="30"/>
      <c r="G65" s="29"/>
      <c r="H65" s="29"/>
      <c r="I65" s="29"/>
      <c r="J65" s="29"/>
      <c r="K65" s="29"/>
    </row>
    <row r="66" spans="1:11">
      <c r="A66" s="291" t="s">
        <v>29</v>
      </c>
      <c r="B66" s="30"/>
      <c r="C66" s="30"/>
      <c r="D66" s="30" t="s">
        <v>33</v>
      </c>
      <c r="E66" s="29"/>
      <c r="F66" s="30"/>
      <c r="G66" s="29"/>
      <c r="H66" s="29"/>
      <c r="I66" s="29"/>
      <c r="J66" s="29"/>
      <c r="K66" s="29"/>
    </row>
    <row r="67" spans="1:11">
      <c r="A67" s="291" t="s">
        <v>30</v>
      </c>
      <c r="B67" s="30"/>
      <c r="C67" s="30"/>
      <c r="D67" s="30" t="s">
        <v>34</v>
      </c>
      <c r="E67" s="29"/>
      <c r="F67" s="30"/>
      <c r="G67" s="29"/>
      <c r="H67" s="29"/>
      <c r="I67" s="29"/>
      <c r="J67" s="29"/>
      <c r="K67" s="29"/>
    </row>
    <row r="68" spans="1:11">
      <c r="A68" s="291" t="s">
        <v>31</v>
      </c>
      <c r="B68" s="30"/>
      <c r="C68" s="30"/>
      <c r="D68" s="29" t="s">
        <v>35</v>
      </c>
      <c r="E68" s="29"/>
      <c r="F68" s="30"/>
      <c r="G68" s="29"/>
      <c r="H68" s="29"/>
      <c r="I68" s="29"/>
      <c r="J68" s="29"/>
      <c r="K68" s="29"/>
    </row>
    <row r="69" spans="1:11">
      <c r="A69" s="291" t="s">
        <v>32</v>
      </c>
      <c r="B69" s="30"/>
      <c r="C69" s="30"/>
      <c r="D69" s="29"/>
      <c r="F69" s="29" t="s">
        <v>68</v>
      </c>
      <c r="G69" s="29"/>
      <c r="H69" s="29"/>
      <c r="I69" s="29"/>
      <c r="J69" s="29"/>
      <c r="K69" s="29"/>
    </row>
    <row r="70" spans="1:11">
      <c r="A70" s="29"/>
      <c r="B70" s="30"/>
      <c r="C70" s="30"/>
      <c r="D70" s="29"/>
      <c r="E70" s="29"/>
      <c r="F70" s="30"/>
      <c r="G70" s="29"/>
      <c r="H70" s="29"/>
      <c r="I70" s="29"/>
      <c r="J70" s="29"/>
      <c r="K70" s="29"/>
    </row>
    <row r="71" spans="1:11">
      <c r="A71" s="1" t="s">
        <v>681</v>
      </c>
      <c r="B71" s="29"/>
      <c r="C71" s="30"/>
      <c r="D71" s="29"/>
      <c r="E71" s="29"/>
      <c r="F71" s="30"/>
      <c r="G71" s="29"/>
      <c r="H71" s="29"/>
      <c r="I71" s="29"/>
      <c r="J71" s="29"/>
      <c r="K71" s="29"/>
    </row>
    <row r="72" spans="1:11">
      <c r="A72" s="290" t="s">
        <v>36</v>
      </c>
      <c r="B72" s="29"/>
      <c r="C72" s="30"/>
      <c r="D72" s="29"/>
      <c r="E72" s="29"/>
      <c r="F72" s="30"/>
      <c r="G72" s="29"/>
      <c r="H72" s="29"/>
      <c r="I72" s="29"/>
      <c r="J72" s="29"/>
      <c r="K72" s="29"/>
    </row>
    <row r="73" spans="1:11">
      <c r="A73" s="290" t="s">
        <v>37</v>
      </c>
      <c r="B73" s="30"/>
      <c r="C73" s="29"/>
      <c r="D73" s="29"/>
      <c r="E73" s="29"/>
      <c r="F73" s="29"/>
      <c r="G73" s="29"/>
      <c r="H73" s="29"/>
      <c r="I73" s="29"/>
      <c r="J73" s="29"/>
      <c r="K73" s="29"/>
    </row>
    <row r="74" spans="1:11">
      <c r="A74" s="291" t="s">
        <v>38</v>
      </c>
      <c r="B74" s="30"/>
      <c r="C74" s="30"/>
      <c r="D74" s="29"/>
      <c r="E74" s="29"/>
      <c r="F74" s="30"/>
      <c r="G74" s="29"/>
      <c r="H74" s="29"/>
      <c r="I74" s="29"/>
      <c r="J74" s="29"/>
      <c r="K74" s="29"/>
    </row>
    <row r="75" spans="1:11">
      <c r="A75" s="291" t="s">
        <v>39</v>
      </c>
      <c r="B75" s="30"/>
      <c r="C75" s="30"/>
      <c r="D75" s="29"/>
      <c r="E75" s="29"/>
      <c r="F75" s="30"/>
      <c r="G75" s="29"/>
      <c r="H75" s="29"/>
      <c r="I75" s="29"/>
      <c r="J75" s="29"/>
      <c r="K75" s="29"/>
    </row>
    <row r="76" spans="1:11">
      <c r="A76" s="29"/>
      <c r="B76" s="30"/>
      <c r="C76" s="30"/>
      <c r="D76" s="29"/>
      <c r="E76" s="29"/>
      <c r="F76" s="30"/>
      <c r="G76" s="29"/>
      <c r="H76" s="29"/>
      <c r="I76" s="29"/>
      <c r="J76" s="29"/>
      <c r="K76" s="29"/>
    </row>
    <row r="77" spans="1:11">
      <c r="A77" s="1" t="s">
        <v>682</v>
      </c>
      <c r="B77" s="30"/>
      <c r="C77" s="30"/>
      <c r="D77" s="29"/>
      <c r="E77" s="29"/>
      <c r="F77" s="29"/>
      <c r="G77" s="29"/>
      <c r="H77" s="29"/>
      <c r="I77" s="29"/>
      <c r="J77" s="29"/>
      <c r="K77" s="29"/>
    </row>
    <row r="78" spans="1:11" ht="19.5">
      <c r="A78" s="290" t="s">
        <v>40</v>
      </c>
      <c r="B78" s="30"/>
      <c r="C78" s="30"/>
      <c r="D78" s="29"/>
      <c r="E78" s="29" t="s">
        <v>41</v>
      </c>
      <c r="F78" s="309" t="s">
        <v>683</v>
      </c>
      <c r="G78" s="29"/>
      <c r="H78" s="29"/>
      <c r="I78" s="29"/>
      <c r="J78" s="29"/>
      <c r="K78" s="29"/>
    </row>
    <row r="79" spans="1:11" ht="19.5">
      <c r="A79" s="29"/>
      <c r="B79" s="30"/>
      <c r="C79" s="30"/>
      <c r="D79" s="29"/>
      <c r="E79" s="29"/>
      <c r="F79" s="309" t="s">
        <v>684</v>
      </c>
      <c r="G79" s="29"/>
      <c r="H79" s="29"/>
      <c r="I79" s="29"/>
      <c r="J79" s="29"/>
      <c r="K79" s="29"/>
    </row>
    <row r="80" spans="1:11">
      <c r="A80" s="29"/>
      <c r="B80" s="30"/>
      <c r="C80" s="30"/>
      <c r="D80" s="29"/>
      <c r="E80" s="29"/>
      <c r="F80" s="30"/>
      <c r="G80" s="29" t="s">
        <v>77</v>
      </c>
      <c r="H80" s="29"/>
      <c r="I80" s="29"/>
      <c r="J80" s="29"/>
      <c r="K80" s="29"/>
    </row>
    <row r="81" spans="1:11">
      <c r="A81" s="1" t="s">
        <v>685</v>
      </c>
      <c r="B81" s="30"/>
      <c r="C81" s="30"/>
      <c r="D81" s="29"/>
      <c r="E81" s="29"/>
      <c r="F81" s="30"/>
      <c r="G81" s="29"/>
      <c r="H81" s="29"/>
      <c r="I81" s="29"/>
      <c r="J81" s="29"/>
      <c r="K81" s="29"/>
    </row>
    <row r="82" spans="1:11">
      <c r="A82" s="29"/>
      <c r="B82" s="30"/>
      <c r="C82" s="30"/>
      <c r="D82" s="29"/>
      <c r="E82" s="29"/>
      <c r="F82" s="30"/>
      <c r="G82" s="29"/>
      <c r="H82" s="29"/>
      <c r="I82" s="29"/>
      <c r="J82" s="29"/>
      <c r="K82" s="29"/>
    </row>
    <row r="83" spans="1:11">
      <c r="A83" s="290" t="s">
        <v>42</v>
      </c>
      <c r="B83" s="30"/>
      <c r="C83" s="30"/>
      <c r="D83" s="29"/>
      <c r="E83" s="29"/>
      <c r="F83" s="30"/>
      <c r="G83" s="29"/>
      <c r="H83" s="29"/>
      <c r="I83" s="29"/>
      <c r="J83" s="29"/>
      <c r="K83" s="29"/>
    </row>
    <row r="84" spans="1:11">
      <c r="A84" s="291" t="s">
        <v>686</v>
      </c>
      <c r="B84" s="30"/>
      <c r="C84" s="30"/>
      <c r="D84" s="29"/>
      <c r="E84" s="29"/>
      <c r="F84" s="30"/>
      <c r="G84" s="29"/>
      <c r="H84" s="29"/>
      <c r="I84" s="29"/>
      <c r="J84" s="29"/>
      <c r="K84" s="29"/>
    </row>
    <row r="85" spans="1:11">
      <c r="A85" s="285" t="s">
        <v>78</v>
      </c>
      <c r="B85" s="30"/>
      <c r="C85" s="30"/>
      <c r="D85" s="29"/>
      <c r="E85" s="29"/>
      <c r="F85" s="30"/>
      <c r="G85" s="29"/>
      <c r="H85" s="29"/>
      <c r="I85" s="29"/>
      <c r="J85" s="29"/>
      <c r="K85" s="29"/>
    </row>
    <row r="86" spans="1:11">
      <c r="A86" s="291" t="s">
        <v>687</v>
      </c>
      <c r="B86" s="30"/>
      <c r="C86" s="30"/>
      <c r="D86" s="29"/>
      <c r="E86" s="29"/>
      <c r="F86" s="30"/>
      <c r="G86" s="29"/>
      <c r="H86" s="29"/>
      <c r="I86" s="29"/>
      <c r="J86" s="29"/>
      <c r="K86" s="29"/>
    </row>
    <row r="87" spans="1:11">
      <c r="A87" s="29"/>
      <c r="B87" s="30"/>
      <c r="C87" s="30"/>
      <c r="D87" s="29"/>
      <c r="E87" s="29" t="s">
        <v>43</v>
      </c>
      <c r="F87" s="30"/>
      <c r="G87" s="29"/>
      <c r="H87" s="29"/>
      <c r="I87" s="29"/>
      <c r="J87" s="29"/>
      <c r="K87" s="29"/>
    </row>
    <row r="88" spans="1:11">
      <c r="A88" s="29"/>
      <c r="B88" s="30"/>
      <c r="C88" s="30"/>
      <c r="D88" s="29"/>
      <c r="E88" s="29"/>
      <c r="F88" s="29" t="s">
        <v>44</v>
      </c>
      <c r="G88" s="29"/>
      <c r="H88" s="29"/>
      <c r="I88" s="29"/>
      <c r="J88" s="29"/>
      <c r="K88" s="29"/>
    </row>
    <row r="89" spans="1:11">
      <c r="A89" s="29"/>
      <c r="B89" s="29"/>
      <c r="C89" s="30"/>
      <c r="D89" s="29"/>
      <c r="E89" s="29"/>
      <c r="F89" s="29" t="s">
        <v>44</v>
      </c>
      <c r="G89" s="29"/>
      <c r="H89" s="29"/>
      <c r="I89" s="29"/>
      <c r="J89" s="29"/>
      <c r="K89" s="29"/>
    </row>
    <row r="90" spans="1:11">
      <c r="A90" s="29" t="s">
        <v>45</v>
      </c>
      <c r="B90" s="30"/>
      <c r="C90" s="30"/>
      <c r="D90" s="29"/>
      <c r="E90" s="29"/>
      <c r="F90" s="29"/>
      <c r="G90" s="29"/>
      <c r="H90" s="29"/>
      <c r="I90" s="29"/>
      <c r="J90" s="29"/>
      <c r="K90" s="29"/>
    </row>
    <row r="91" spans="1:11">
      <c r="A91" s="291" t="s">
        <v>688</v>
      </c>
      <c r="B91" s="30"/>
      <c r="C91" s="30"/>
      <c r="D91" s="29"/>
      <c r="E91" s="29"/>
      <c r="F91" s="29"/>
      <c r="G91" s="29"/>
      <c r="H91" s="29"/>
      <c r="I91" s="29"/>
      <c r="J91" s="29"/>
      <c r="K91" s="29"/>
    </row>
    <row r="92" spans="1:11">
      <c r="A92" s="29"/>
      <c r="B92" s="30"/>
      <c r="C92" s="30"/>
      <c r="D92" s="29"/>
      <c r="E92" s="29"/>
      <c r="F92" s="30"/>
      <c r="G92" s="29"/>
      <c r="H92" s="29"/>
      <c r="I92" s="29"/>
      <c r="J92" s="29"/>
      <c r="K92" s="29"/>
    </row>
    <row r="93" spans="1:11">
      <c r="A93" s="29"/>
      <c r="B93" s="30"/>
      <c r="C93" s="30"/>
      <c r="D93" s="29"/>
      <c r="E93" s="29"/>
      <c r="F93" s="30"/>
      <c r="G93" s="29"/>
      <c r="H93" s="29"/>
      <c r="I93" s="29"/>
      <c r="J93" s="29"/>
      <c r="K93" s="29"/>
    </row>
    <row r="94" spans="1:11">
      <c r="A94" s="29" t="s">
        <v>46</v>
      </c>
      <c r="B94" s="30"/>
      <c r="C94" s="30"/>
      <c r="D94" s="29"/>
      <c r="E94" s="29"/>
      <c r="F94" s="30"/>
      <c r="G94" s="29"/>
      <c r="H94" s="29"/>
      <c r="I94" s="29"/>
      <c r="J94" s="29"/>
      <c r="K94" s="29"/>
    </row>
    <row r="95" spans="1:11">
      <c r="A95" s="29"/>
      <c r="B95" s="30"/>
      <c r="C95" s="30"/>
      <c r="D95" s="29"/>
      <c r="E95" s="29"/>
      <c r="F95" s="30"/>
      <c r="G95" s="29"/>
      <c r="H95" s="29"/>
      <c r="I95" s="29"/>
      <c r="J95" s="29"/>
      <c r="K95" s="29"/>
    </row>
    <row r="96" spans="1:11">
      <c r="A96" s="1" t="s">
        <v>689</v>
      </c>
      <c r="B96" s="29"/>
      <c r="C96" s="30"/>
      <c r="D96" s="29"/>
      <c r="E96" s="29"/>
      <c r="F96" s="30"/>
      <c r="G96" s="29"/>
      <c r="H96" s="29"/>
      <c r="I96" s="29"/>
      <c r="J96" s="29"/>
      <c r="K96" s="29"/>
    </row>
    <row r="97" spans="1:11">
      <c r="A97" s="1" t="s">
        <v>690</v>
      </c>
      <c r="B97" s="30"/>
      <c r="C97" s="30"/>
      <c r="D97" s="29"/>
      <c r="E97" s="29"/>
      <c r="F97" s="30"/>
      <c r="G97" s="29"/>
      <c r="H97" s="29"/>
      <c r="I97" s="29"/>
      <c r="J97" s="29"/>
      <c r="K97" s="29"/>
    </row>
    <row r="98" spans="1:11">
      <c r="A98" s="1" t="s">
        <v>691</v>
      </c>
      <c r="B98" s="30"/>
      <c r="C98" s="30"/>
      <c r="D98" s="29"/>
      <c r="E98" s="29"/>
      <c r="F98" s="30"/>
      <c r="G98" s="29"/>
      <c r="H98" s="29"/>
      <c r="I98" s="29"/>
      <c r="J98" s="29"/>
      <c r="K98" s="29"/>
    </row>
    <row r="99" spans="1:11" ht="15.75" customHeight="1">
      <c r="A99" s="310" t="s">
        <v>692</v>
      </c>
      <c r="B99" s="30"/>
      <c r="C99" s="30"/>
      <c r="D99" s="29"/>
      <c r="E99" s="29"/>
      <c r="F99" s="30"/>
      <c r="G99" s="29"/>
      <c r="H99" s="29"/>
      <c r="I99" s="29"/>
      <c r="J99" s="29"/>
      <c r="K99" s="29"/>
    </row>
    <row r="100" spans="1:11">
      <c r="A100" s="310" t="s">
        <v>775</v>
      </c>
      <c r="B100" s="30"/>
      <c r="C100" s="30"/>
      <c r="D100" s="29"/>
      <c r="E100" s="29"/>
      <c r="F100" s="30"/>
      <c r="G100" s="29"/>
      <c r="H100" s="29"/>
      <c r="I100" s="29"/>
      <c r="J100" s="29"/>
      <c r="K100" s="29"/>
    </row>
    <row r="101" spans="1:11">
      <c r="A101" s="310" t="s">
        <v>693</v>
      </c>
      <c r="B101" s="30"/>
      <c r="C101" s="30"/>
      <c r="D101" s="29"/>
      <c r="E101" s="29"/>
      <c r="F101" s="30"/>
      <c r="G101" s="29"/>
      <c r="H101" s="29"/>
      <c r="I101" s="29"/>
      <c r="J101" s="29"/>
      <c r="K101" s="29"/>
    </row>
    <row r="102" spans="1:11">
      <c r="A102" s="310" t="s">
        <v>694</v>
      </c>
      <c r="B102" s="30"/>
      <c r="C102" s="30"/>
      <c r="D102" s="29"/>
      <c r="E102" s="29"/>
      <c r="F102" s="30"/>
      <c r="G102" s="29"/>
      <c r="H102" s="29"/>
      <c r="I102" s="29"/>
      <c r="J102" s="29"/>
      <c r="K102" s="29"/>
    </row>
    <row r="103" spans="1:11">
      <c r="A103" s="310" t="s">
        <v>695</v>
      </c>
      <c r="B103" s="30"/>
      <c r="C103" s="30"/>
      <c r="D103" s="29"/>
      <c r="E103" s="29"/>
      <c r="F103" s="30"/>
      <c r="G103" s="29"/>
      <c r="H103" s="29"/>
      <c r="I103" s="29"/>
      <c r="J103" s="29"/>
      <c r="K103" s="29"/>
    </row>
    <row r="104" spans="1:11">
      <c r="A104" s="29" t="s">
        <v>696</v>
      </c>
      <c r="B104" s="30"/>
      <c r="C104" s="30"/>
      <c r="D104" s="29"/>
      <c r="E104" s="29"/>
      <c r="F104" s="30"/>
      <c r="G104" s="29"/>
      <c r="H104" s="29"/>
      <c r="I104" s="29"/>
      <c r="J104" s="29"/>
      <c r="K104" s="29"/>
    </row>
    <row r="105" spans="1:11">
      <c r="A105" s="1" t="s">
        <v>697</v>
      </c>
      <c r="B105" s="30"/>
      <c r="C105" s="30"/>
      <c r="D105" s="29"/>
      <c r="E105" s="29"/>
      <c r="F105" s="30"/>
      <c r="G105" s="29"/>
      <c r="H105" s="29"/>
      <c r="I105" s="29"/>
      <c r="J105" s="29"/>
      <c r="K105" s="29"/>
    </row>
    <row r="106" spans="1:11">
      <c r="A106" s="29" t="s">
        <v>698</v>
      </c>
      <c r="B106" s="30"/>
      <c r="C106" s="30"/>
      <c r="D106" s="29"/>
      <c r="E106" s="29"/>
      <c r="F106" s="29"/>
      <c r="G106" s="29"/>
      <c r="H106" s="29"/>
      <c r="I106" s="29"/>
      <c r="J106" s="29"/>
      <c r="K106" s="29"/>
    </row>
    <row r="107" spans="1:11">
      <c r="A107" s="29" t="s">
        <v>699</v>
      </c>
      <c r="B107" s="30"/>
      <c r="C107" s="30"/>
      <c r="D107" s="29"/>
      <c r="E107" s="29"/>
      <c r="F107" s="30"/>
      <c r="G107" s="29"/>
      <c r="H107" s="29"/>
      <c r="I107" s="29"/>
      <c r="J107" s="29"/>
      <c r="K107" s="29"/>
    </row>
    <row r="108" spans="1:11">
      <c r="A108" s="29" t="s">
        <v>700</v>
      </c>
      <c r="B108" s="30"/>
      <c r="C108" s="30"/>
      <c r="D108" s="29"/>
      <c r="E108" s="29"/>
      <c r="F108" s="30"/>
      <c r="G108" s="29"/>
      <c r="H108" s="29"/>
      <c r="I108" s="29"/>
      <c r="J108" s="29"/>
      <c r="K108" s="29"/>
    </row>
    <row r="109" spans="1:11">
      <c r="A109" s="29" t="s">
        <v>701</v>
      </c>
      <c r="B109" s="30"/>
      <c r="C109" s="30"/>
      <c r="D109" s="29"/>
      <c r="E109" s="29"/>
      <c r="F109" s="30"/>
      <c r="G109" s="29"/>
      <c r="H109" s="29"/>
      <c r="I109" s="29"/>
      <c r="J109" s="29"/>
      <c r="K109" s="29"/>
    </row>
    <row r="110" spans="1:11">
      <c r="A110" s="29"/>
      <c r="B110" s="30"/>
      <c r="C110" s="30"/>
      <c r="D110" s="29"/>
      <c r="E110" s="29"/>
      <c r="F110" s="30"/>
      <c r="G110" s="29"/>
      <c r="H110" s="29"/>
      <c r="I110" s="29"/>
      <c r="J110" s="29"/>
      <c r="K110" s="29"/>
    </row>
    <row r="111" spans="1:11">
      <c r="A111" s="1" t="s">
        <v>702</v>
      </c>
      <c r="B111" s="30"/>
      <c r="C111" s="30"/>
      <c r="D111" s="29"/>
      <c r="E111" s="29"/>
      <c r="F111" s="30"/>
      <c r="G111" s="29"/>
      <c r="H111" s="29"/>
      <c r="I111" s="29"/>
      <c r="J111" s="29"/>
      <c r="K111" s="29"/>
    </row>
    <row r="112" spans="1:11">
      <c r="A112" s="290" t="s">
        <v>79</v>
      </c>
      <c r="B112" s="30"/>
      <c r="C112" s="30"/>
      <c r="D112" s="29"/>
      <c r="E112" s="29"/>
      <c r="F112" s="30"/>
      <c r="G112" s="29"/>
      <c r="H112" s="29"/>
      <c r="I112" s="29"/>
      <c r="J112" s="29"/>
      <c r="K112" s="29"/>
    </row>
    <row r="113" spans="1:11">
      <c r="A113" s="29" t="s">
        <v>80</v>
      </c>
      <c r="B113" s="30"/>
      <c r="C113" s="30"/>
      <c r="D113" s="29"/>
      <c r="E113" s="29"/>
      <c r="F113" s="30"/>
      <c r="G113" s="29"/>
      <c r="H113" s="29"/>
      <c r="I113" s="29"/>
      <c r="J113" s="29"/>
      <c r="K113" s="29"/>
    </row>
    <row r="114" spans="1:11">
      <c r="A114" s="1" t="s">
        <v>703</v>
      </c>
      <c r="B114" s="30"/>
      <c r="C114" s="30"/>
      <c r="D114" s="29"/>
      <c r="E114" s="29"/>
      <c r="F114" s="30"/>
      <c r="G114" s="29"/>
      <c r="H114" s="29"/>
      <c r="I114" s="29"/>
      <c r="J114" s="29"/>
      <c r="K114" s="29"/>
    </row>
    <row r="115" spans="1:11">
      <c r="A115" s="1" t="s">
        <v>704</v>
      </c>
      <c r="B115" s="30"/>
      <c r="C115" s="30"/>
      <c r="D115" s="29"/>
      <c r="E115" s="29"/>
      <c r="F115" s="30"/>
      <c r="G115" s="29"/>
      <c r="H115" s="29"/>
      <c r="I115" s="29"/>
      <c r="J115" s="29"/>
      <c r="K115" s="29"/>
    </row>
    <row r="116" spans="1:11">
      <c r="A116" s="1" t="s">
        <v>705</v>
      </c>
      <c r="B116" s="30"/>
      <c r="C116" s="30"/>
      <c r="D116" s="29"/>
      <c r="E116" s="29"/>
      <c r="F116" s="30"/>
      <c r="G116" s="29"/>
      <c r="H116" s="29"/>
      <c r="I116" s="29"/>
      <c r="J116" s="29"/>
      <c r="K116" s="29"/>
    </row>
    <row r="117" spans="1:11">
      <c r="A117" s="290" t="s">
        <v>47</v>
      </c>
      <c r="B117" s="30"/>
      <c r="C117" s="30"/>
      <c r="D117" s="29"/>
      <c r="E117" s="29"/>
      <c r="F117" s="30"/>
      <c r="G117" s="29"/>
      <c r="H117" s="29"/>
      <c r="I117" s="29"/>
      <c r="J117" s="29"/>
      <c r="K117" s="29"/>
    </row>
    <row r="118" spans="1:11">
      <c r="A118" s="29" t="s">
        <v>48</v>
      </c>
      <c r="B118" s="30"/>
      <c r="C118" s="30"/>
      <c r="D118" s="29"/>
      <c r="E118" s="29"/>
      <c r="F118" s="30"/>
      <c r="G118" s="29"/>
      <c r="H118" s="29"/>
      <c r="I118" s="29"/>
      <c r="J118" s="29"/>
      <c r="K118" s="29"/>
    </row>
    <row r="119" spans="1:11">
      <c r="A119" s="29"/>
      <c r="C119" s="30" t="s">
        <v>49</v>
      </c>
      <c r="D119" s="29"/>
      <c r="E119" s="29"/>
      <c r="F119" s="30"/>
      <c r="G119" s="29"/>
      <c r="H119" s="29"/>
      <c r="I119" s="29"/>
      <c r="J119" s="29"/>
      <c r="K119" s="29"/>
    </row>
    <row r="120" spans="1:11">
      <c r="A120" s="29" t="s">
        <v>50</v>
      </c>
      <c r="B120" s="30"/>
      <c r="C120" s="30"/>
      <c r="D120" s="29"/>
      <c r="E120" s="29"/>
      <c r="F120" s="30"/>
      <c r="G120" s="29"/>
      <c r="H120" s="29"/>
      <c r="I120" s="29"/>
      <c r="J120" s="29"/>
      <c r="K120" s="29"/>
    </row>
    <row r="121" spans="1:11">
      <c r="A121" s="29"/>
      <c r="B121" s="44">
        <v>410</v>
      </c>
      <c r="C121" s="30" t="s">
        <v>51</v>
      </c>
      <c r="D121" s="29"/>
      <c r="E121" s="292">
        <f>(B121-30)/22.5</f>
        <v>16.888888888888889</v>
      </c>
      <c r="F121" s="30" t="s">
        <v>51</v>
      </c>
      <c r="G121" s="29"/>
      <c r="H121" s="29"/>
      <c r="I121" s="29"/>
      <c r="J121" s="29"/>
      <c r="K121" s="29"/>
    </row>
    <row r="122" spans="1:11">
      <c r="A122" s="310"/>
      <c r="B122" s="362" t="str">
        <f>IF(E121&lt;20,"Plancher Corps-Creux (16+4)","Plancher Corps-Creux (20+4)")</f>
        <v>Plancher Corps-Creux (16+4)</v>
      </c>
      <c r="C122" s="362"/>
      <c r="D122" s="310"/>
      <c r="E122" s="29"/>
      <c r="F122" s="30"/>
      <c r="G122" s="29"/>
      <c r="H122" s="29"/>
      <c r="I122" s="29"/>
      <c r="J122" s="29"/>
      <c r="K122" s="29"/>
    </row>
    <row r="123" spans="1:11">
      <c r="A123" s="1" t="s">
        <v>706</v>
      </c>
      <c r="B123" s="30"/>
      <c r="C123" s="30"/>
      <c r="D123" s="29"/>
      <c r="E123" s="29"/>
      <c r="F123" s="30"/>
      <c r="G123" s="29"/>
      <c r="H123" s="29"/>
      <c r="I123" s="29"/>
      <c r="J123" s="29"/>
      <c r="K123" s="29"/>
    </row>
    <row r="124" spans="1:11">
      <c r="A124" s="290" t="s">
        <v>81</v>
      </c>
      <c r="B124" s="30"/>
      <c r="C124" s="30"/>
      <c r="D124" s="29"/>
      <c r="E124" s="29"/>
      <c r="F124" s="30"/>
      <c r="G124" s="29"/>
      <c r="H124" s="29"/>
      <c r="I124" s="29"/>
      <c r="J124" s="29"/>
      <c r="K124" s="29"/>
    </row>
    <row r="125" spans="1:11">
      <c r="A125" s="29" t="s">
        <v>82</v>
      </c>
      <c r="B125" s="30"/>
      <c r="C125" s="30"/>
      <c r="D125" s="29"/>
      <c r="E125" s="29"/>
      <c r="F125" s="30"/>
      <c r="G125" s="29"/>
      <c r="H125" s="29"/>
      <c r="I125" s="29"/>
      <c r="J125" s="29"/>
      <c r="K125" s="29"/>
    </row>
    <row r="126" spans="1:11">
      <c r="A126" s="291" t="s">
        <v>707</v>
      </c>
      <c r="B126" s="30"/>
      <c r="C126" s="30"/>
      <c r="D126" s="29"/>
      <c r="E126" s="29"/>
      <c r="F126" s="30"/>
      <c r="G126" s="29"/>
      <c r="H126" s="29"/>
      <c r="I126" s="29"/>
      <c r="J126" s="29"/>
      <c r="K126" s="29"/>
    </row>
    <row r="127" spans="1:11">
      <c r="A127" s="29"/>
      <c r="B127" s="44">
        <v>130</v>
      </c>
      <c r="C127" s="30" t="s">
        <v>51</v>
      </c>
      <c r="D127" s="410">
        <f>B127/20</f>
        <v>6.5</v>
      </c>
      <c r="E127" s="362" t="s">
        <v>51</v>
      </c>
      <c r="F127" s="362" t="s">
        <v>52</v>
      </c>
      <c r="G127" s="29"/>
      <c r="H127" s="29"/>
      <c r="I127" s="368">
        <v>15</v>
      </c>
      <c r="J127" s="29"/>
      <c r="K127" s="29"/>
    </row>
    <row r="128" spans="1:11">
      <c r="A128" s="291" t="s">
        <v>708</v>
      </c>
      <c r="B128" s="30"/>
      <c r="C128" s="30"/>
      <c r="D128" s="310"/>
      <c r="E128" s="310"/>
      <c r="F128" s="362"/>
      <c r="G128" s="29"/>
      <c r="H128" s="29"/>
      <c r="I128" s="29"/>
      <c r="J128" s="29"/>
      <c r="K128" s="29"/>
    </row>
    <row r="129" spans="1:12">
      <c r="A129" s="29"/>
      <c r="B129" s="44">
        <v>130</v>
      </c>
      <c r="C129" s="30" t="s">
        <v>51</v>
      </c>
      <c r="D129" s="408">
        <f>B129/35</f>
        <v>3.7142857142857144</v>
      </c>
      <c r="E129" s="310"/>
      <c r="F129" s="408">
        <f>B129/30</f>
        <v>4.333333333333333</v>
      </c>
      <c r="G129" s="29"/>
      <c r="H129" s="29"/>
      <c r="I129" s="29"/>
      <c r="J129" s="29"/>
      <c r="K129" s="29"/>
    </row>
    <row r="130" spans="1:12">
      <c r="A130" s="29"/>
      <c r="B130" s="30" t="s">
        <v>53</v>
      </c>
      <c r="C130" s="30"/>
      <c r="D130" s="310"/>
      <c r="E130" s="310"/>
      <c r="F130" s="369">
        <v>15</v>
      </c>
      <c r="G130" s="29" t="s">
        <v>51</v>
      </c>
      <c r="H130" s="29"/>
      <c r="I130" s="29"/>
      <c r="J130" s="29"/>
      <c r="K130" s="29"/>
    </row>
    <row r="131" spans="1:12">
      <c r="A131" s="291" t="s">
        <v>709</v>
      </c>
      <c r="B131" s="30"/>
      <c r="C131" s="30"/>
      <c r="D131" s="310"/>
      <c r="E131" s="310"/>
      <c r="F131" s="362"/>
      <c r="G131" s="29"/>
      <c r="H131" s="29"/>
      <c r="I131" s="29"/>
      <c r="J131" s="29"/>
      <c r="K131" s="29"/>
    </row>
    <row r="132" spans="1:12">
      <c r="A132" s="29"/>
      <c r="B132" s="44">
        <v>130</v>
      </c>
      <c r="C132" s="30" t="s">
        <v>51</v>
      </c>
      <c r="D132" s="408">
        <f>B132/50</f>
        <v>2.6</v>
      </c>
      <c r="E132" s="310"/>
      <c r="F132" s="408">
        <f>B132/40</f>
        <v>3.25</v>
      </c>
      <c r="G132" s="29"/>
      <c r="H132" s="29"/>
      <c r="I132" s="29"/>
      <c r="J132" s="29"/>
      <c r="K132" s="29"/>
    </row>
    <row r="133" spans="1:12">
      <c r="A133" s="29"/>
      <c r="B133" s="30" t="s">
        <v>53</v>
      </c>
      <c r="C133" s="30"/>
      <c r="D133" s="29"/>
      <c r="E133" s="29"/>
      <c r="F133" s="369">
        <v>15</v>
      </c>
      <c r="G133" s="29" t="s">
        <v>51</v>
      </c>
      <c r="H133" s="29"/>
      <c r="I133" s="29"/>
      <c r="J133" s="29"/>
      <c r="K133" s="29"/>
    </row>
    <row r="134" spans="1:12">
      <c r="A134" s="1" t="s">
        <v>710</v>
      </c>
      <c r="B134" s="362"/>
      <c r="C134" s="362"/>
      <c r="D134" s="310"/>
      <c r="E134" s="310"/>
      <c r="F134" s="362"/>
      <c r="G134" s="310"/>
      <c r="H134" s="310"/>
      <c r="I134" s="310"/>
      <c r="J134" s="310"/>
      <c r="K134" s="310"/>
      <c r="L134" s="70"/>
    </row>
    <row r="135" spans="1:12">
      <c r="A135" s="1" t="s">
        <v>801</v>
      </c>
      <c r="B135" s="362"/>
      <c r="C135" s="362"/>
      <c r="D135" s="310"/>
      <c r="E135" s="310"/>
      <c r="F135" s="310"/>
      <c r="G135" s="310"/>
      <c r="H135" s="310"/>
      <c r="I135" s="310"/>
      <c r="J135" s="310"/>
      <c r="K135" s="310"/>
      <c r="L135" s="70"/>
    </row>
    <row r="136" spans="1:12">
      <c r="A136" s="368" t="s">
        <v>54</v>
      </c>
      <c r="B136" s="362"/>
      <c r="C136" s="362"/>
      <c r="D136" s="310"/>
      <c r="E136" s="310"/>
      <c r="F136" s="362"/>
      <c r="G136" s="310"/>
      <c r="H136" s="310"/>
      <c r="I136" s="310"/>
      <c r="J136" s="310"/>
      <c r="K136" s="310"/>
      <c r="L136" s="70"/>
    </row>
    <row r="137" spans="1:12">
      <c r="A137" s="310"/>
      <c r="B137" s="383">
        <v>428</v>
      </c>
      <c r="C137" s="362" t="s">
        <v>51</v>
      </c>
      <c r="D137" s="408">
        <f>B137/15</f>
        <v>28.533333333333335</v>
      </c>
      <c r="E137" s="310"/>
      <c r="F137" s="408">
        <f>B137/10</f>
        <v>42.8</v>
      </c>
      <c r="G137" s="369" t="s">
        <v>57</v>
      </c>
      <c r="H137" s="310"/>
      <c r="I137" s="368">
        <f>B137/12.5</f>
        <v>34.24</v>
      </c>
      <c r="J137" s="310"/>
      <c r="K137" s="310"/>
      <c r="L137" s="70"/>
    </row>
    <row r="138" spans="1:12">
      <c r="A138" s="310"/>
      <c r="B138" s="638" t="s">
        <v>55</v>
      </c>
      <c r="C138" s="638"/>
      <c r="D138" s="638"/>
      <c r="F138" s="484" t="s">
        <v>440</v>
      </c>
      <c r="G138" s="310" t="s">
        <v>56</v>
      </c>
      <c r="I138" s="310"/>
      <c r="J138" s="310"/>
      <c r="K138" s="310"/>
      <c r="L138" s="70"/>
    </row>
    <row r="139" spans="1:12">
      <c r="A139" s="1" t="s">
        <v>711</v>
      </c>
      <c r="B139" s="362"/>
      <c r="C139" s="362"/>
      <c r="D139" s="310"/>
      <c r="E139" s="310"/>
      <c r="F139" s="362"/>
      <c r="G139" s="310"/>
      <c r="H139" s="310"/>
      <c r="I139" s="310"/>
      <c r="J139" s="310"/>
      <c r="K139" s="310"/>
      <c r="L139" s="70"/>
    </row>
    <row r="140" spans="1:12">
      <c r="A140" s="368" t="s">
        <v>54</v>
      </c>
      <c r="B140" s="362"/>
      <c r="C140" s="362"/>
      <c r="D140" s="310"/>
      <c r="E140" s="310"/>
      <c r="F140" s="362"/>
      <c r="G140" s="310"/>
      <c r="H140" s="310"/>
      <c r="I140" s="310"/>
      <c r="J140" s="310"/>
      <c r="K140" s="310"/>
      <c r="L140" s="70"/>
    </row>
    <row r="141" spans="1:12">
      <c r="A141" s="362"/>
      <c r="B141" s="409">
        <v>410</v>
      </c>
      <c r="C141" s="362" t="s">
        <v>51</v>
      </c>
      <c r="D141" s="408">
        <f>B141/15</f>
        <v>27.333333333333332</v>
      </c>
      <c r="E141" s="310"/>
      <c r="F141" s="408">
        <f>B141/10</f>
        <v>41</v>
      </c>
      <c r="G141" s="369" t="s">
        <v>57</v>
      </c>
      <c r="H141" s="310"/>
      <c r="I141" s="368">
        <f>B141/12.5</f>
        <v>32.799999999999997</v>
      </c>
      <c r="J141" s="310"/>
      <c r="K141" s="310"/>
      <c r="L141" s="70"/>
    </row>
    <row r="142" spans="1:12">
      <c r="A142" s="310"/>
      <c r="B142" s="504" t="s">
        <v>55</v>
      </c>
      <c r="C142" s="362"/>
      <c r="D142" s="310"/>
      <c r="F142" s="484" t="s">
        <v>800</v>
      </c>
      <c r="G142" s="310" t="s">
        <v>56</v>
      </c>
      <c r="H142" s="310"/>
      <c r="I142" s="310"/>
      <c r="J142" s="310"/>
      <c r="K142" s="310"/>
      <c r="L142" s="70"/>
    </row>
    <row r="143" spans="1:12">
      <c r="A143" s="1" t="s">
        <v>665</v>
      </c>
      <c r="B143" s="362"/>
      <c r="C143" s="362"/>
      <c r="D143" s="310"/>
      <c r="E143" s="310"/>
      <c r="F143" s="362"/>
      <c r="G143" s="310"/>
      <c r="H143" s="310"/>
      <c r="I143" s="310"/>
      <c r="J143" s="29"/>
      <c r="K143" s="29"/>
    </row>
    <row r="144" spans="1:12">
      <c r="A144" s="368" t="s">
        <v>58</v>
      </c>
      <c r="B144" s="362"/>
      <c r="C144" s="362"/>
      <c r="D144" s="362"/>
      <c r="E144" s="310"/>
      <c r="F144" s="362"/>
      <c r="G144" s="310"/>
      <c r="H144" s="310"/>
      <c r="I144" s="310"/>
      <c r="J144" s="29"/>
      <c r="K144" s="29"/>
    </row>
    <row r="145" spans="1:11">
      <c r="A145" s="291" t="s">
        <v>59</v>
      </c>
      <c r="B145" s="362"/>
      <c r="C145" s="310"/>
      <c r="D145" s="310"/>
      <c r="E145" s="310"/>
      <c r="F145" s="362"/>
      <c r="G145" s="310"/>
      <c r="H145" s="310"/>
      <c r="I145" s="310"/>
      <c r="J145" s="29"/>
      <c r="K145" s="29"/>
    </row>
    <row r="146" spans="1:11">
      <c r="A146" s="310"/>
      <c r="B146" s="383">
        <v>245</v>
      </c>
      <c r="C146" s="362" t="s">
        <v>51</v>
      </c>
      <c r="D146" s="408">
        <f>B146/30</f>
        <v>8.1666666666666661</v>
      </c>
      <c r="E146" s="310"/>
      <c r="F146" s="408">
        <f>B146/20</f>
        <v>12.25</v>
      </c>
      <c r="G146" s="368" t="s">
        <v>57</v>
      </c>
      <c r="H146" s="369">
        <f>B146/25</f>
        <v>9.8000000000000007</v>
      </c>
      <c r="I146" s="310" t="s">
        <v>51</v>
      </c>
      <c r="J146" s="29"/>
      <c r="K146" s="29"/>
    </row>
    <row r="147" spans="1:11">
      <c r="A147" s="310"/>
      <c r="B147" s="362"/>
      <c r="C147" s="362" t="s">
        <v>52</v>
      </c>
      <c r="D147" s="310"/>
      <c r="E147" s="310"/>
      <c r="F147" s="369">
        <v>15</v>
      </c>
      <c r="G147" s="310" t="s">
        <v>51</v>
      </c>
      <c r="H147" s="310"/>
      <c r="I147" s="310"/>
      <c r="J147" s="29"/>
      <c r="K147" s="29"/>
    </row>
    <row r="148" spans="1:11">
      <c r="A148" s="310"/>
      <c r="B148" s="362"/>
      <c r="C148" s="362"/>
      <c r="D148" s="310"/>
      <c r="E148" s="310"/>
      <c r="F148" s="362"/>
      <c r="G148" s="310"/>
      <c r="H148" s="310"/>
      <c r="I148" s="310"/>
      <c r="J148" s="29"/>
      <c r="K148" s="29"/>
    </row>
    <row r="149" spans="1:11">
      <c r="A149" s="1" t="s">
        <v>657</v>
      </c>
      <c r="B149" s="30"/>
      <c r="C149" s="30"/>
      <c r="D149" s="29"/>
      <c r="E149" s="29"/>
      <c r="F149" s="30"/>
      <c r="G149" s="29"/>
      <c r="H149" s="29"/>
      <c r="I149" s="29"/>
      <c r="J149" s="29"/>
      <c r="K149" s="29"/>
    </row>
    <row r="150" spans="1:11">
      <c r="A150" s="285" t="s">
        <v>255</v>
      </c>
      <c r="B150" s="285"/>
      <c r="C150" s="285"/>
      <c r="D150" s="285"/>
      <c r="E150" s="285"/>
      <c r="F150" s="285"/>
      <c r="G150" s="285"/>
      <c r="H150" s="285"/>
      <c r="I150" s="29"/>
      <c r="J150" s="29"/>
      <c r="K150" s="29"/>
    </row>
    <row r="151" spans="1:11">
      <c r="A151" s="285" t="s">
        <v>256</v>
      </c>
      <c r="B151" s="285"/>
      <c r="C151" s="285"/>
      <c r="D151" s="285"/>
      <c r="E151" s="285"/>
      <c r="F151" s="285"/>
      <c r="G151" s="285"/>
      <c r="H151" s="285"/>
      <c r="I151" s="29"/>
      <c r="J151" s="29"/>
      <c r="K151" s="29"/>
    </row>
    <row r="152" spans="1:11">
      <c r="A152" s="636" t="s">
        <v>257</v>
      </c>
      <c r="B152" s="636"/>
      <c r="C152" s="285" t="s">
        <v>258</v>
      </c>
      <c r="D152" s="636" t="s">
        <v>259</v>
      </c>
      <c r="E152" s="636"/>
      <c r="F152" s="286"/>
      <c r="G152" s="286"/>
      <c r="H152" s="286"/>
      <c r="I152" s="29"/>
      <c r="J152" s="29"/>
      <c r="K152" s="29"/>
    </row>
    <row r="153" spans="1:11">
      <c r="A153" s="636" t="s">
        <v>257</v>
      </c>
      <c r="B153" s="636"/>
      <c r="C153" s="285" t="s">
        <v>260</v>
      </c>
      <c r="D153" s="636" t="s">
        <v>261</v>
      </c>
      <c r="E153" s="636"/>
      <c r="F153" s="285"/>
      <c r="G153" s="285"/>
      <c r="H153" s="285"/>
      <c r="I153" s="29"/>
      <c r="J153" s="29"/>
      <c r="K153" s="29"/>
    </row>
    <row r="154" spans="1:11">
      <c r="A154" s="636" t="s">
        <v>257</v>
      </c>
      <c r="B154" s="636"/>
      <c r="C154" s="285" t="s">
        <v>262</v>
      </c>
      <c r="D154" s="285"/>
      <c r="E154" s="285"/>
      <c r="F154" s="285"/>
      <c r="G154" s="285"/>
      <c r="H154" s="285"/>
      <c r="I154" s="29"/>
      <c r="J154" s="29"/>
      <c r="K154" s="29"/>
    </row>
    <row r="155" spans="1:11">
      <c r="A155" s="287" t="s">
        <v>263</v>
      </c>
      <c r="B155" s="285" t="s">
        <v>264</v>
      </c>
      <c r="C155" s="281">
        <v>4</v>
      </c>
      <c r="D155" s="285"/>
      <c r="E155" s="285"/>
      <c r="F155" s="285"/>
      <c r="G155" s="285"/>
      <c r="H155" s="285"/>
      <c r="I155" s="29"/>
      <c r="J155" s="29"/>
      <c r="K155" s="29"/>
    </row>
    <row r="156" spans="1:11">
      <c r="A156" s="285" t="s">
        <v>265</v>
      </c>
      <c r="B156" s="285"/>
      <c r="C156" s="285"/>
      <c r="D156" s="285"/>
      <c r="E156" s="285"/>
      <c r="F156" s="285"/>
      <c r="G156" s="285"/>
      <c r="H156" s="285"/>
      <c r="I156" s="29"/>
      <c r="J156" s="29"/>
      <c r="K156" s="29"/>
    </row>
    <row r="157" spans="1:11">
      <c r="A157" s="285" t="s">
        <v>266</v>
      </c>
      <c r="B157" s="285" t="s">
        <v>267</v>
      </c>
      <c r="C157" s="636" t="s">
        <v>268</v>
      </c>
      <c r="D157" s="636"/>
      <c r="E157" s="285"/>
      <c r="F157" s="285"/>
      <c r="G157" s="285"/>
      <c r="H157" s="285"/>
      <c r="I157" s="29"/>
      <c r="J157" s="29"/>
      <c r="K157" s="29"/>
    </row>
    <row r="158" spans="1:11">
      <c r="A158" s="285" t="s">
        <v>266</v>
      </c>
      <c r="B158" s="285" t="s">
        <v>269</v>
      </c>
      <c r="C158" s="636" t="s">
        <v>270</v>
      </c>
      <c r="D158" s="636"/>
      <c r="E158" s="285"/>
      <c r="F158" s="285"/>
      <c r="G158" s="285"/>
      <c r="H158" s="285"/>
      <c r="I158" s="29"/>
      <c r="J158" s="29"/>
      <c r="K158" s="29"/>
    </row>
    <row r="159" spans="1:11">
      <c r="A159" s="285" t="s">
        <v>266</v>
      </c>
      <c r="B159" s="285" t="s">
        <v>271</v>
      </c>
      <c r="C159" s="636" t="s">
        <v>272</v>
      </c>
      <c r="D159" s="636"/>
      <c r="E159" s="285"/>
      <c r="F159" s="285"/>
      <c r="G159" s="285"/>
      <c r="H159" s="285"/>
      <c r="I159" s="29"/>
      <c r="J159" s="29"/>
      <c r="K159" s="29"/>
    </row>
    <row r="160" spans="1:11">
      <c r="A160" s="285" t="s">
        <v>266</v>
      </c>
      <c r="B160" s="285" t="s">
        <v>273</v>
      </c>
      <c r="C160" s="285"/>
      <c r="D160" s="285"/>
      <c r="E160" s="285"/>
      <c r="F160" s="285"/>
      <c r="G160" s="285"/>
      <c r="H160" s="285"/>
      <c r="I160" s="29"/>
      <c r="J160" s="29"/>
      <c r="K160" s="29"/>
    </row>
    <row r="161" spans="1:12">
      <c r="A161" s="285" t="s">
        <v>274</v>
      </c>
      <c r="B161" s="285"/>
      <c r="C161" s="285"/>
      <c r="D161" s="285"/>
      <c r="E161" s="285"/>
      <c r="F161" s="285"/>
      <c r="G161" s="285"/>
      <c r="H161" s="285"/>
      <c r="I161" s="29"/>
      <c r="J161" s="29"/>
      <c r="K161" s="29"/>
    </row>
    <row r="162" spans="1:12">
      <c r="A162" s="285" t="s">
        <v>275</v>
      </c>
      <c r="B162" s="285"/>
      <c r="C162" s="285"/>
      <c r="D162" s="285"/>
      <c r="E162" s="285"/>
      <c r="F162" s="285"/>
      <c r="G162" s="285"/>
      <c r="H162" s="285"/>
      <c r="I162" s="29"/>
      <c r="J162" s="29"/>
      <c r="K162" s="29"/>
    </row>
    <row r="163" spans="1:12" ht="19.5">
      <c r="A163" s="288" t="s">
        <v>276</v>
      </c>
      <c r="B163" s="285" t="s">
        <v>658</v>
      </c>
      <c r="C163" s="285"/>
      <c r="D163" s="285"/>
      <c r="E163" s="285"/>
      <c r="F163" s="285" t="s">
        <v>282</v>
      </c>
      <c r="G163" s="285" t="s">
        <v>283</v>
      </c>
      <c r="H163" s="285"/>
      <c r="I163" s="29"/>
      <c r="J163" s="29"/>
      <c r="K163" s="29"/>
    </row>
    <row r="164" spans="1:12">
      <c r="A164" s="288" t="s">
        <v>254</v>
      </c>
      <c r="B164" s="285" t="s">
        <v>277</v>
      </c>
      <c r="C164" s="285"/>
      <c r="D164" s="285"/>
      <c r="E164" s="285"/>
      <c r="F164" s="285"/>
      <c r="G164" s="285"/>
      <c r="H164" s="285"/>
      <c r="I164" s="29"/>
      <c r="J164" s="29"/>
      <c r="K164" s="29"/>
      <c r="L164" s="72"/>
    </row>
    <row r="165" spans="1:12">
      <c r="A165" s="288" t="s">
        <v>278</v>
      </c>
      <c r="B165" s="285" t="s">
        <v>279</v>
      </c>
      <c r="C165" s="285"/>
      <c r="D165" s="285"/>
      <c r="E165" s="288" t="s">
        <v>280</v>
      </c>
      <c r="F165" s="285" t="s">
        <v>281</v>
      </c>
      <c r="G165" s="285"/>
      <c r="H165" s="285"/>
      <c r="I165" s="29"/>
      <c r="J165" s="29"/>
      <c r="K165" s="29"/>
      <c r="L165" s="72"/>
    </row>
    <row r="166" spans="1:12" ht="19.5">
      <c r="A166" s="288" t="s">
        <v>659</v>
      </c>
      <c r="B166" s="281">
        <v>1.5</v>
      </c>
      <c r="C166" s="285" t="s">
        <v>284</v>
      </c>
      <c r="D166" s="285"/>
      <c r="E166" s="285"/>
      <c r="F166" s="285"/>
      <c r="G166" s="285"/>
      <c r="H166" s="285"/>
      <c r="I166" s="29"/>
      <c r="J166" s="29"/>
      <c r="K166" s="29"/>
      <c r="L166" s="72"/>
    </row>
    <row r="167" spans="1:12" ht="19.5">
      <c r="A167" s="288" t="s">
        <v>659</v>
      </c>
      <c r="B167" s="281">
        <v>1.1499999999999999</v>
      </c>
      <c r="C167" s="285" t="s">
        <v>285</v>
      </c>
      <c r="D167" s="285"/>
      <c r="E167" s="285"/>
      <c r="F167" s="285"/>
      <c r="G167" s="285"/>
      <c r="H167" s="285"/>
      <c r="I167" s="29"/>
      <c r="J167" s="29"/>
      <c r="K167" s="29"/>
      <c r="L167" s="72"/>
    </row>
    <row r="168" spans="1:12" ht="19.5">
      <c r="A168" s="288" t="s">
        <v>660</v>
      </c>
      <c r="B168" s="281">
        <v>1.1499999999999999</v>
      </c>
      <c r="C168" s="285" t="s">
        <v>284</v>
      </c>
      <c r="D168" s="285"/>
      <c r="E168" s="285"/>
      <c r="F168" s="285"/>
      <c r="G168" s="285"/>
      <c r="H168" s="285"/>
      <c r="I168" s="29"/>
      <c r="J168" s="29"/>
      <c r="K168" s="29"/>
      <c r="L168" s="72"/>
    </row>
    <row r="169" spans="1:12" ht="19.5">
      <c r="A169" s="288" t="s">
        <v>660</v>
      </c>
      <c r="B169" s="281">
        <v>1</v>
      </c>
      <c r="C169" s="285" t="s">
        <v>285</v>
      </c>
      <c r="D169" s="285"/>
      <c r="E169" s="285"/>
      <c r="F169" s="285"/>
      <c r="G169" s="285"/>
      <c r="H169" s="285"/>
      <c r="I169" s="29"/>
      <c r="J169" s="29"/>
      <c r="K169" s="29"/>
      <c r="L169" s="72"/>
    </row>
    <row r="170" spans="1:12">
      <c r="A170" s="288" t="s">
        <v>286</v>
      </c>
      <c r="B170" s="285" t="s">
        <v>287</v>
      </c>
      <c r="C170" s="285"/>
      <c r="D170" s="285"/>
      <c r="E170" s="285"/>
      <c r="F170" s="285"/>
      <c r="G170" s="285"/>
      <c r="H170" s="285"/>
      <c r="I170" s="29"/>
      <c r="J170" s="29"/>
      <c r="K170" s="29"/>
      <c r="L170" s="72"/>
    </row>
    <row r="171" spans="1:12">
      <c r="A171" s="288" t="s">
        <v>288</v>
      </c>
      <c r="B171" s="285" t="s">
        <v>294</v>
      </c>
      <c r="C171" s="285"/>
      <c r="D171" s="285"/>
      <c r="E171" s="285"/>
      <c r="F171" s="285"/>
      <c r="G171" s="285"/>
      <c r="H171" s="285"/>
      <c r="I171" s="29"/>
      <c r="J171" s="29"/>
      <c r="K171" s="29"/>
      <c r="L171" s="72"/>
    </row>
    <row r="172" spans="1:12" s="73" customFormat="1">
      <c r="A172" s="288"/>
      <c r="B172" s="285" t="s">
        <v>295</v>
      </c>
      <c r="C172" s="285"/>
      <c r="D172" s="285"/>
      <c r="E172" s="285"/>
      <c r="F172" s="285"/>
      <c r="G172" s="285"/>
      <c r="H172" s="285"/>
      <c r="I172" s="29"/>
      <c r="J172" s="29"/>
      <c r="K172" s="29"/>
      <c r="L172" s="72"/>
    </row>
    <row r="173" spans="1:12" ht="19.5">
      <c r="A173" s="288" t="s">
        <v>289</v>
      </c>
      <c r="B173" s="637" t="s">
        <v>661</v>
      </c>
      <c r="C173" s="637"/>
      <c r="D173" s="288" t="s">
        <v>290</v>
      </c>
      <c r="E173" s="285" t="s">
        <v>291</v>
      </c>
      <c r="F173" s="285" t="s">
        <v>296</v>
      </c>
      <c r="G173" s="285"/>
      <c r="H173" s="285"/>
      <c r="I173" s="29"/>
      <c r="J173" s="29"/>
      <c r="K173" s="29"/>
      <c r="L173" s="72"/>
    </row>
    <row r="174" spans="1:12" s="73" customFormat="1">
      <c r="A174" s="288"/>
      <c r="B174" s="281"/>
      <c r="C174" s="281"/>
      <c r="D174" s="288"/>
      <c r="E174" s="285"/>
      <c r="F174" s="285" t="s">
        <v>297</v>
      </c>
      <c r="G174" s="285"/>
      <c r="H174" s="285"/>
      <c r="I174" s="29"/>
      <c r="J174" s="29"/>
      <c r="K174" s="29"/>
      <c r="L174" s="72"/>
    </row>
    <row r="175" spans="1:12" ht="19.5">
      <c r="A175" s="288" t="s">
        <v>289</v>
      </c>
      <c r="B175" s="637" t="s">
        <v>662</v>
      </c>
      <c r="C175" s="637"/>
      <c r="D175" s="288" t="s">
        <v>290</v>
      </c>
      <c r="E175" s="285" t="s">
        <v>305</v>
      </c>
      <c r="F175" s="285"/>
      <c r="G175" s="285"/>
      <c r="H175" s="285"/>
      <c r="I175" s="29"/>
      <c r="J175" s="29"/>
      <c r="K175" s="29"/>
      <c r="L175" s="72"/>
    </row>
    <row r="176" spans="1:12">
      <c r="A176" s="285" t="s">
        <v>292</v>
      </c>
      <c r="B176" s="285"/>
      <c r="C176" s="285"/>
      <c r="D176" s="285"/>
      <c r="E176" s="285"/>
      <c r="F176" s="285"/>
      <c r="G176" s="285"/>
      <c r="H176" s="285"/>
      <c r="I176" s="29"/>
      <c r="J176" s="29"/>
      <c r="K176" s="29"/>
      <c r="L176" s="72"/>
    </row>
    <row r="177" spans="1:14">
      <c r="A177" s="636" t="s">
        <v>409</v>
      </c>
      <c r="B177" s="636"/>
      <c r="C177" s="636"/>
      <c r="D177" s="636"/>
      <c r="E177" s="636"/>
      <c r="F177" s="285"/>
      <c r="G177" s="285"/>
      <c r="H177" s="285"/>
      <c r="I177" s="29"/>
      <c r="J177" s="29"/>
      <c r="K177" s="29"/>
      <c r="L177" s="72"/>
    </row>
    <row r="178" spans="1:14">
      <c r="A178" s="636" t="s">
        <v>410</v>
      </c>
      <c r="B178" s="636"/>
      <c r="C178" s="636"/>
      <c r="D178" s="636"/>
      <c r="E178" s="636"/>
      <c r="F178" s="285"/>
      <c r="G178" s="285"/>
      <c r="H178" s="285"/>
      <c r="I178" s="29"/>
      <c r="J178" s="29"/>
      <c r="K178" s="29"/>
      <c r="L178" s="72"/>
      <c r="N178" s="74"/>
    </row>
    <row r="179" spans="1:14">
      <c r="A179" s="636" t="s">
        <v>411</v>
      </c>
      <c r="B179" s="636"/>
      <c r="C179" s="636"/>
      <c r="D179" s="636"/>
      <c r="E179" s="636"/>
      <c r="F179" s="285"/>
      <c r="G179" s="285"/>
      <c r="H179" s="285"/>
      <c r="I179" s="29"/>
      <c r="J179" s="29"/>
      <c r="K179" s="29"/>
      <c r="L179" s="72"/>
    </row>
    <row r="180" spans="1:14">
      <c r="A180" s="639" t="s">
        <v>663</v>
      </c>
      <c r="B180" s="639"/>
      <c r="C180" s="639"/>
      <c r="D180" s="639"/>
      <c r="E180" s="289" t="s">
        <v>664</v>
      </c>
      <c r="F180" s="29"/>
      <c r="G180" s="29"/>
      <c r="H180" s="29"/>
      <c r="I180" s="29"/>
      <c r="J180" s="29"/>
      <c r="K180" s="29"/>
      <c r="L180" s="72"/>
    </row>
    <row r="181" spans="1:14">
      <c r="A181" s="29"/>
      <c r="B181" s="29"/>
      <c r="C181" s="29"/>
      <c r="D181" s="29"/>
      <c r="E181" s="29"/>
      <c r="F181" s="29"/>
      <c r="G181" s="29"/>
      <c r="H181" s="29"/>
      <c r="I181" s="29"/>
      <c r="J181" s="29"/>
      <c r="K181" s="29"/>
      <c r="L181" s="72"/>
    </row>
    <row r="182" spans="1:14" s="76" customFormat="1">
      <c r="A182" s="29" t="s">
        <v>298</v>
      </c>
      <c r="B182" s="29" t="s">
        <v>293</v>
      </c>
      <c r="C182" s="29" t="s">
        <v>299</v>
      </c>
      <c r="D182" s="29"/>
      <c r="E182" s="29" t="s">
        <v>300</v>
      </c>
      <c r="F182" s="29"/>
      <c r="G182" s="29"/>
      <c r="H182" s="29"/>
      <c r="I182" s="29"/>
      <c r="J182" s="29"/>
      <c r="K182" s="29"/>
      <c r="L182" s="75"/>
    </row>
    <row r="183" spans="1:14" s="76" customFormat="1">
      <c r="A183" s="29"/>
      <c r="B183" s="29"/>
      <c r="C183" s="29"/>
      <c r="D183" s="29"/>
      <c r="E183" s="29"/>
      <c r="F183" s="29"/>
      <c r="G183" s="29"/>
      <c r="H183" s="29"/>
      <c r="I183" s="29"/>
      <c r="J183" s="29"/>
      <c r="K183" s="29"/>
      <c r="L183" s="75"/>
    </row>
    <row r="184" spans="1:14" s="76" customFormat="1" ht="19.5" thickBot="1">
      <c r="A184" s="29"/>
      <c r="B184" s="29"/>
      <c r="C184" s="29"/>
      <c r="D184" s="29"/>
      <c r="E184" s="29"/>
      <c r="F184" s="29"/>
      <c r="G184" s="29"/>
      <c r="H184" s="29"/>
      <c r="I184" s="29"/>
      <c r="J184" s="29"/>
      <c r="K184" s="29"/>
      <c r="L184" s="75"/>
    </row>
    <row r="185" spans="1:14" s="76" customFormat="1" ht="20.25" thickTop="1" thickBot="1">
      <c r="A185" s="640" t="s">
        <v>302</v>
      </c>
      <c r="B185" s="640"/>
      <c r="C185" s="640" t="s">
        <v>790</v>
      </c>
      <c r="D185" s="640"/>
      <c r="E185" s="29" t="s">
        <v>304</v>
      </c>
      <c r="F185" s="29"/>
      <c r="G185" s="29"/>
      <c r="H185" s="29"/>
      <c r="I185" s="29"/>
      <c r="J185" s="29"/>
      <c r="K185" s="29"/>
      <c r="L185" s="75"/>
    </row>
    <row r="186" spans="1:14" s="76" customFormat="1" ht="20.25" thickTop="1" thickBot="1">
      <c r="A186" s="640" t="s">
        <v>303</v>
      </c>
      <c r="B186" s="640"/>
      <c r="C186" s="640" t="s">
        <v>790</v>
      </c>
      <c r="D186" s="640"/>
      <c r="E186" s="29" t="s">
        <v>304</v>
      </c>
      <c r="F186" s="29"/>
      <c r="G186" s="29"/>
      <c r="H186" s="29"/>
      <c r="I186" s="29"/>
      <c r="J186" s="29"/>
      <c r="K186" s="29"/>
      <c r="L186" s="75"/>
    </row>
    <row r="187" spans="1:14" ht="19.5" thickTop="1">
      <c r="A187" s="313" t="s">
        <v>712</v>
      </c>
      <c r="B187" s="282"/>
      <c r="C187" s="282"/>
      <c r="D187" s="282"/>
      <c r="E187" s="282"/>
      <c r="F187" s="282"/>
      <c r="G187" s="282"/>
      <c r="H187" s="282"/>
      <c r="I187" s="29"/>
      <c r="J187" s="29"/>
      <c r="K187" s="29"/>
      <c r="L187" s="72"/>
    </row>
    <row r="188" spans="1:14">
      <c r="A188" s="290" t="s">
        <v>69</v>
      </c>
      <c r="B188" s="314"/>
      <c r="C188" s="282"/>
      <c r="D188" s="282"/>
      <c r="E188" s="314"/>
      <c r="F188" s="282"/>
      <c r="G188" s="282"/>
      <c r="H188" s="282"/>
      <c r="I188" s="29"/>
      <c r="J188" s="29"/>
      <c r="K188" s="29"/>
    </row>
    <row r="189" spans="1:14">
      <c r="A189" s="314" t="s">
        <v>301</v>
      </c>
      <c r="B189" s="314"/>
      <c r="C189" s="282"/>
      <c r="D189" s="282"/>
      <c r="E189" s="314"/>
      <c r="F189" s="282"/>
      <c r="G189" s="282"/>
      <c r="H189" s="282"/>
      <c r="I189" s="29"/>
      <c r="J189" s="29"/>
      <c r="K189" s="29"/>
    </row>
    <row r="190" spans="1:14">
      <c r="A190" s="314"/>
      <c r="B190" s="633" t="s">
        <v>443</v>
      </c>
      <c r="C190" s="633"/>
      <c r="D190" s="633"/>
      <c r="E190" s="633"/>
      <c r="F190" s="633"/>
      <c r="G190" s="633"/>
      <c r="H190" s="282"/>
      <c r="I190" s="29"/>
      <c r="J190" s="29"/>
      <c r="K190" s="29"/>
    </row>
    <row r="191" spans="1:14" ht="19.5" thickBot="1">
      <c r="A191" s="314"/>
      <c r="B191" s="314"/>
      <c r="C191" s="282"/>
      <c r="D191" s="282"/>
      <c r="E191" s="314"/>
      <c r="F191" s="282"/>
      <c r="G191" s="282"/>
      <c r="H191" s="282"/>
      <c r="I191" s="29"/>
      <c r="J191" s="29"/>
      <c r="K191" s="29"/>
    </row>
    <row r="192" spans="1:14" ht="42" customHeight="1" thickTop="1" thickBot="1">
      <c r="A192" s="277" t="s">
        <v>444</v>
      </c>
      <c r="B192" s="277" t="s">
        <v>343</v>
      </c>
      <c r="C192" s="277" t="s">
        <v>445</v>
      </c>
      <c r="D192" s="277" t="s">
        <v>446</v>
      </c>
      <c r="E192" s="277" t="s">
        <v>447</v>
      </c>
      <c r="F192" s="634" t="s">
        <v>448</v>
      </c>
      <c r="G192" s="634"/>
      <c r="H192" s="541" t="s">
        <v>654</v>
      </c>
      <c r="I192" s="541"/>
      <c r="J192" s="541" t="s">
        <v>763</v>
      </c>
      <c r="K192" s="541"/>
    </row>
    <row r="193" spans="1:11" ht="20.25" thickTop="1" thickBot="1">
      <c r="A193" s="278" t="s">
        <v>781</v>
      </c>
      <c r="B193" s="279" t="s">
        <v>776</v>
      </c>
      <c r="C193" s="280">
        <v>300</v>
      </c>
      <c r="D193" s="280">
        <v>30</v>
      </c>
      <c r="E193" s="280">
        <v>40</v>
      </c>
      <c r="F193" s="542" t="str">
        <f t="shared" ref="F193:F195" si="0">IF(MIN(D193,E193)&gt;=25,"vérifié","non vérifié")</f>
        <v>vérifié</v>
      </c>
      <c r="G193" s="543"/>
      <c r="H193" s="544" t="str">
        <f t="shared" ref="H193:H196" si="1">IF(MIN(D193,D193)&gt;=C193/20,"vérifié","non vérifié")</f>
        <v>vérifié</v>
      </c>
      <c r="I193" s="545"/>
      <c r="J193" s="544" t="str">
        <f t="shared" ref="J193:J196" si="2">IF(E193/D193&lt;4,IF(E193/D193&gt;1/4,"vérifié","non vérifié"))</f>
        <v>vérifié</v>
      </c>
      <c r="K193" s="545"/>
    </row>
    <row r="194" spans="1:11" ht="20.25" thickTop="1" thickBot="1">
      <c r="A194" s="278" t="s">
        <v>347</v>
      </c>
      <c r="B194" s="279" t="s">
        <v>776</v>
      </c>
      <c r="C194" s="280">
        <v>300</v>
      </c>
      <c r="D194" s="280">
        <v>30</v>
      </c>
      <c r="E194" s="280">
        <v>40</v>
      </c>
      <c r="F194" s="542" t="str">
        <f t="shared" si="0"/>
        <v>vérifié</v>
      </c>
      <c r="G194" s="543"/>
      <c r="H194" s="544" t="str">
        <f t="shared" si="1"/>
        <v>vérifié</v>
      </c>
      <c r="I194" s="545"/>
      <c r="J194" s="544" t="str">
        <f t="shared" si="2"/>
        <v>vérifié</v>
      </c>
      <c r="K194" s="545"/>
    </row>
    <row r="195" spans="1:11" ht="20.25" thickTop="1" thickBot="1">
      <c r="A195" s="278" t="s">
        <v>348</v>
      </c>
      <c r="B195" s="279" t="s">
        <v>776</v>
      </c>
      <c r="C195" s="280">
        <v>300</v>
      </c>
      <c r="D195" s="280">
        <v>30</v>
      </c>
      <c r="E195" s="280">
        <v>40</v>
      </c>
      <c r="F195" s="542" t="str">
        <f t="shared" si="0"/>
        <v>vérifié</v>
      </c>
      <c r="G195" s="543"/>
      <c r="H195" s="544" t="str">
        <f t="shared" si="1"/>
        <v>vérifié</v>
      </c>
      <c r="I195" s="545"/>
      <c r="J195" s="544" t="str">
        <f t="shared" si="2"/>
        <v>vérifié</v>
      </c>
      <c r="K195" s="545"/>
    </row>
    <row r="196" spans="1:11" s="76" customFormat="1" ht="20.25" thickTop="1" thickBot="1">
      <c r="A196" s="278" t="s">
        <v>349</v>
      </c>
      <c r="B196" s="279" t="s">
        <v>776</v>
      </c>
      <c r="C196" s="280">
        <v>300</v>
      </c>
      <c r="D196" s="280">
        <v>30</v>
      </c>
      <c r="E196" s="280">
        <v>40</v>
      </c>
      <c r="F196" s="542" t="str">
        <f t="shared" ref="F196" si="3">IF(MIN(D196,E196)&gt;=25,"vérifié","non vérifié")</f>
        <v>vérifié</v>
      </c>
      <c r="G196" s="543"/>
      <c r="H196" s="544" t="str">
        <f t="shared" si="1"/>
        <v>vérifié</v>
      </c>
      <c r="I196" s="545"/>
      <c r="J196" s="544" t="str">
        <f t="shared" si="2"/>
        <v>vérifié</v>
      </c>
      <c r="K196" s="545"/>
    </row>
    <row r="197" spans="1:11" ht="35.25" customHeight="1" thickTop="1" thickBot="1">
      <c r="A197" s="277" t="s">
        <v>444</v>
      </c>
      <c r="B197" s="277" t="s">
        <v>449</v>
      </c>
      <c r="C197" s="277" t="s">
        <v>450</v>
      </c>
      <c r="D197" s="642"/>
      <c r="E197" s="643"/>
      <c r="F197" s="644" t="s">
        <v>451</v>
      </c>
      <c r="G197" s="644"/>
      <c r="H197" s="407"/>
      <c r="I197" s="310"/>
      <c r="J197" s="310"/>
      <c r="K197" s="310"/>
    </row>
    <row r="198" spans="1:11" s="76" customFormat="1" ht="20.25" thickTop="1" thickBot="1">
      <c r="A198" s="278" t="s">
        <v>781</v>
      </c>
      <c r="B198" s="279">
        <f>0.7*C193</f>
        <v>210</v>
      </c>
      <c r="C198" s="279">
        <f>D193*E193^3/12</f>
        <v>160000</v>
      </c>
      <c r="D198" s="548">
        <f>SQRT(12)*B198/E193</f>
        <v>18.186533479473209</v>
      </c>
      <c r="E198" s="549"/>
      <c r="F198" s="542" t="str">
        <f t="shared" ref="F198:F200" si="4">IF(D198&lt;=35,"vérifié","non vérifié")</f>
        <v>vérifié</v>
      </c>
      <c r="G198" s="543"/>
      <c r="H198" s="407"/>
      <c r="I198" s="310"/>
      <c r="J198" s="310"/>
      <c r="K198" s="310"/>
    </row>
    <row r="199" spans="1:11" s="76" customFormat="1" ht="20.25" thickTop="1" thickBot="1">
      <c r="A199" s="278" t="s">
        <v>347</v>
      </c>
      <c r="B199" s="279">
        <f>0.7*C194</f>
        <v>210</v>
      </c>
      <c r="C199" s="279">
        <f>D194*E194^3/12</f>
        <v>160000</v>
      </c>
      <c r="D199" s="548">
        <f>SQRT(12)*B199/E194</f>
        <v>18.186533479473209</v>
      </c>
      <c r="E199" s="549"/>
      <c r="F199" s="542" t="str">
        <f t="shared" si="4"/>
        <v>vérifié</v>
      </c>
      <c r="G199" s="543"/>
      <c r="H199" s="407"/>
      <c r="I199" s="310"/>
      <c r="J199" s="310"/>
      <c r="K199" s="310"/>
    </row>
    <row r="200" spans="1:11" s="76" customFormat="1" ht="20.25" thickTop="1" thickBot="1">
      <c r="A200" s="278" t="s">
        <v>348</v>
      </c>
      <c r="B200" s="279">
        <f>0.7*C195</f>
        <v>210</v>
      </c>
      <c r="C200" s="279">
        <f>D195*E195^3/12</f>
        <v>160000</v>
      </c>
      <c r="D200" s="548">
        <f>SQRT(12)*B200/E195</f>
        <v>18.186533479473209</v>
      </c>
      <c r="E200" s="549"/>
      <c r="F200" s="542" t="str">
        <f t="shared" si="4"/>
        <v>vérifié</v>
      </c>
      <c r="G200" s="543"/>
      <c r="H200" s="407"/>
      <c r="I200" s="310"/>
      <c r="J200" s="310"/>
      <c r="K200" s="310"/>
    </row>
    <row r="201" spans="1:11" s="76" customFormat="1" ht="20.25" thickTop="1" thickBot="1">
      <c r="A201" s="278" t="s">
        <v>349</v>
      </c>
      <c r="B201" s="279">
        <f>0.7*C196</f>
        <v>210</v>
      </c>
      <c r="C201" s="279">
        <f>D196*E196^3/12</f>
        <v>160000</v>
      </c>
      <c r="D201" s="548">
        <f>SQRT(12)*B201/E196</f>
        <v>18.186533479473209</v>
      </c>
      <c r="E201" s="549"/>
      <c r="F201" s="542" t="str">
        <f t="shared" ref="F201" si="5">IF(D201&lt;=35,"vérifié","non vérifié")</f>
        <v>vérifié</v>
      </c>
      <c r="G201" s="543"/>
      <c r="H201" s="407"/>
      <c r="I201" s="310"/>
      <c r="J201" s="310"/>
      <c r="K201" s="310"/>
    </row>
    <row r="202" spans="1:11" s="76" customFormat="1" ht="19.5" thickTop="1">
      <c r="A202" s="291"/>
      <c r="B202" s="30"/>
      <c r="C202" s="30"/>
      <c r="D202" s="29"/>
      <c r="E202" s="29"/>
      <c r="F202" s="30"/>
      <c r="G202" s="29"/>
      <c r="H202" s="29"/>
      <c r="I202" s="29"/>
      <c r="J202" s="29"/>
      <c r="K202" s="29"/>
    </row>
    <row r="203" spans="1:11" s="76" customFormat="1">
      <c r="A203" s="1" t="s">
        <v>713</v>
      </c>
      <c r="B203" s="30"/>
      <c r="C203" s="30"/>
      <c r="D203" s="29"/>
      <c r="E203" s="29"/>
      <c r="F203" s="30"/>
      <c r="G203" s="29"/>
      <c r="H203" s="29"/>
      <c r="I203" s="29"/>
      <c r="J203" s="29"/>
      <c r="K203" s="29"/>
    </row>
    <row r="204" spans="1:11" s="76" customFormat="1">
      <c r="A204" s="1" t="s">
        <v>714</v>
      </c>
      <c r="B204" s="30"/>
      <c r="C204" s="30"/>
      <c r="D204" s="29"/>
      <c r="E204" s="29"/>
      <c r="F204" s="30"/>
      <c r="G204" s="29"/>
      <c r="H204" s="29"/>
      <c r="I204" s="29"/>
      <c r="J204" s="29"/>
      <c r="K204" s="29"/>
    </row>
    <row r="205" spans="1:11" s="76" customFormat="1">
      <c r="A205" s="1" t="s">
        <v>715</v>
      </c>
      <c r="B205" s="30"/>
      <c r="C205" s="30"/>
      <c r="D205" s="29"/>
      <c r="E205" s="29"/>
      <c r="F205" s="476" t="s">
        <v>772</v>
      </c>
      <c r="G205" s="476">
        <v>9.0500000000000007</v>
      </c>
      <c r="H205" s="29"/>
      <c r="I205" s="29"/>
      <c r="J205" s="29"/>
      <c r="K205" s="29"/>
    </row>
    <row r="206" spans="1:11" s="76" customFormat="1" ht="19.5" thickBot="1">
      <c r="A206" s="1"/>
      <c r="B206" s="30"/>
      <c r="C206" s="30"/>
      <c r="D206" s="29"/>
      <c r="E206" s="29"/>
      <c r="F206" s="476" t="s">
        <v>773</v>
      </c>
      <c r="G206" s="476">
        <v>16.63</v>
      </c>
      <c r="H206" s="29"/>
      <c r="I206" s="29"/>
      <c r="J206" s="29"/>
      <c r="K206" s="29"/>
    </row>
    <row r="207" spans="1:11" s="76" customFormat="1" ht="20.25" thickTop="1" thickBot="1">
      <c r="A207" s="283" t="s">
        <v>452</v>
      </c>
      <c r="B207" s="283" t="s">
        <v>453</v>
      </c>
      <c r="C207" s="283" t="s">
        <v>454</v>
      </c>
      <c r="D207" s="283" t="s">
        <v>455</v>
      </c>
      <c r="E207" s="283" t="s">
        <v>456</v>
      </c>
      <c r="F207" s="283" t="s">
        <v>457</v>
      </c>
      <c r="G207" s="283" t="s">
        <v>458</v>
      </c>
      <c r="H207" s="283" t="s">
        <v>459</v>
      </c>
      <c r="I207" s="283" t="s">
        <v>460</v>
      </c>
      <c r="J207" s="283" t="s">
        <v>466</v>
      </c>
      <c r="K207" s="283" t="s">
        <v>467</v>
      </c>
    </row>
    <row r="208" spans="1:11" s="76" customFormat="1" ht="20.25" thickTop="1" thickBot="1">
      <c r="A208" s="284" t="s">
        <v>461</v>
      </c>
      <c r="B208" s="284">
        <v>3.8980000000000001</v>
      </c>
      <c r="C208" s="284">
        <v>7.6859999999999999</v>
      </c>
      <c r="D208" s="284">
        <v>129.5857</v>
      </c>
      <c r="E208" s="284">
        <v>129.5857</v>
      </c>
      <c r="F208" s="284">
        <v>3.8980000000000001</v>
      </c>
      <c r="G208" s="284">
        <v>7.6859999999999999</v>
      </c>
      <c r="H208" s="284">
        <v>4.9630000000000001</v>
      </c>
      <c r="I208" s="284">
        <v>7.9850000000000003</v>
      </c>
      <c r="J208" s="284">
        <f>0.15*G205</f>
        <v>1.3575000000000002</v>
      </c>
      <c r="K208" s="284">
        <f>0.15*G206</f>
        <v>2.4944999999999999</v>
      </c>
    </row>
    <row r="209" spans="1:17" s="76" customFormat="1" ht="20.25" thickTop="1" thickBot="1">
      <c r="A209" s="284" t="s">
        <v>462</v>
      </c>
      <c r="B209" s="284">
        <v>3.7389999999999999</v>
      </c>
      <c r="C209" s="284">
        <v>7.79</v>
      </c>
      <c r="D209" s="284">
        <v>125.444</v>
      </c>
      <c r="E209" s="284">
        <v>125.444</v>
      </c>
      <c r="F209" s="284">
        <v>3.7389999999999999</v>
      </c>
      <c r="G209" s="284">
        <v>7.79</v>
      </c>
      <c r="H209" s="284">
        <v>4.6310000000000002</v>
      </c>
      <c r="I209" s="284">
        <v>8.2880000000000003</v>
      </c>
      <c r="J209" s="284">
        <f>0.15*G205</f>
        <v>1.3575000000000002</v>
      </c>
      <c r="K209" s="284">
        <f>0.15*G206</f>
        <v>2.4944999999999999</v>
      </c>
    </row>
    <row r="210" spans="1:17" s="76" customFormat="1" ht="20.25" thickTop="1" thickBot="1">
      <c r="A210" s="284" t="s">
        <v>463</v>
      </c>
      <c r="B210" s="284">
        <v>3.7389999999999999</v>
      </c>
      <c r="C210" s="284">
        <v>8.2929999999999993</v>
      </c>
      <c r="D210" s="284">
        <v>111.5994</v>
      </c>
      <c r="E210" s="284">
        <v>111.5994</v>
      </c>
      <c r="F210" s="284">
        <v>3.7389999999999999</v>
      </c>
      <c r="G210" s="284">
        <v>8.2929999999999993</v>
      </c>
      <c r="H210" s="284">
        <v>4.4349999999999996</v>
      </c>
      <c r="I210" s="284">
        <v>8.532</v>
      </c>
      <c r="J210" s="284">
        <f>0.15*G205</f>
        <v>1.3575000000000002</v>
      </c>
      <c r="K210" s="284">
        <f>0.15*G206</f>
        <v>2.4944999999999999</v>
      </c>
    </row>
    <row r="211" spans="1:17" s="76" customFormat="1" ht="20.25" thickTop="1" thickBot="1">
      <c r="A211" s="284" t="s">
        <v>777</v>
      </c>
      <c r="B211" s="284">
        <v>4.1429999999999998</v>
      </c>
      <c r="C211" s="284">
        <v>13.949</v>
      </c>
      <c r="D211" s="284">
        <v>24.525500000000001</v>
      </c>
      <c r="E211" s="284">
        <v>24.525500000000001</v>
      </c>
      <c r="F211" s="284">
        <v>4.1429999999999998</v>
      </c>
      <c r="G211" s="284">
        <v>13.949</v>
      </c>
      <c r="H211" s="284">
        <v>4.5270000000000001</v>
      </c>
      <c r="I211" s="284">
        <v>11.233000000000001</v>
      </c>
      <c r="J211" s="284">
        <f>0.15*G205</f>
        <v>1.3575000000000002</v>
      </c>
      <c r="K211" s="284">
        <f>0.15*G206</f>
        <v>2.4944999999999999</v>
      </c>
      <c r="L211" s="153"/>
      <c r="M211" s="153"/>
      <c r="N211" s="400"/>
      <c r="O211" s="400"/>
      <c r="P211" s="400"/>
      <c r="Q211" s="400"/>
    </row>
    <row r="212" spans="1:17" s="76" customFormat="1" ht="20.25" thickTop="1" thickBot="1">
      <c r="A212" s="467" t="s">
        <v>464</v>
      </c>
      <c r="B212" s="467" t="s">
        <v>465</v>
      </c>
      <c r="C212" s="546" t="s">
        <v>655</v>
      </c>
      <c r="D212" s="547"/>
      <c r="E212" s="546" t="s">
        <v>656</v>
      </c>
      <c r="F212" s="547"/>
      <c r="G212" s="153"/>
      <c r="H212" s="153"/>
      <c r="I212" s="153"/>
      <c r="J212" s="153"/>
      <c r="K212" s="153"/>
      <c r="L212" s="153"/>
      <c r="M212" s="153"/>
      <c r="N212" s="400"/>
      <c r="O212" s="400"/>
      <c r="P212" s="400"/>
      <c r="Q212" s="400"/>
    </row>
    <row r="213" spans="1:17" s="76" customFormat="1" ht="20.25" thickTop="1" thickBot="1">
      <c r="A213" s="284">
        <f>ABS(-(F208-H208))</f>
        <v>1.0649999999999999</v>
      </c>
      <c r="B213" s="284">
        <f>+ABS(-G208+I208)</f>
        <v>0.29900000000000038</v>
      </c>
      <c r="C213" s="544" t="str">
        <f>IF(A213&lt;=J208,"vérfié","non vérifié")</f>
        <v>vérfié</v>
      </c>
      <c r="D213" s="545"/>
      <c r="E213" s="544" t="str">
        <f>IF(B213&lt;=K208,"vérfié","non vérifié")</f>
        <v>vérfié</v>
      </c>
      <c r="F213" s="545"/>
      <c r="G213" s="153"/>
      <c r="H213" s="153"/>
      <c r="I213" s="153"/>
      <c r="J213" s="153"/>
      <c r="K213" s="153"/>
      <c r="L213" s="153"/>
      <c r="M213" s="153"/>
      <c r="N213" s="400"/>
      <c r="O213" s="400"/>
      <c r="P213" s="400"/>
      <c r="Q213" s="400"/>
    </row>
    <row r="214" spans="1:17" s="76" customFormat="1" ht="20.25" thickTop="1" thickBot="1">
      <c r="A214" s="284">
        <f>ABS(-(F209-H209))</f>
        <v>0.89200000000000035</v>
      </c>
      <c r="B214" s="284">
        <f>+ABS(-G209+I209)</f>
        <v>0.49800000000000022</v>
      </c>
      <c r="C214" s="544" t="str">
        <f>IF(A214&lt;=J209,"vérfié","non vérifié")</f>
        <v>vérfié</v>
      </c>
      <c r="D214" s="545"/>
      <c r="E214" s="544" t="str">
        <f>IF(B214&lt;=K209,"vérfié","non vérifié")</f>
        <v>vérfié</v>
      </c>
      <c r="F214" s="545"/>
      <c r="G214" s="153"/>
      <c r="H214" s="153"/>
      <c r="I214" s="153"/>
      <c r="J214" s="153"/>
      <c r="K214" s="153"/>
      <c r="L214" s="153"/>
      <c r="M214" s="153"/>
      <c r="N214" s="400"/>
      <c r="O214" s="400"/>
      <c r="P214" s="400"/>
      <c r="Q214" s="400"/>
    </row>
    <row r="215" spans="1:17" s="76" customFormat="1" ht="20.25" thickTop="1" thickBot="1">
      <c r="A215" s="284">
        <f>ABS(-(F210-H210))</f>
        <v>0.69599999999999973</v>
      </c>
      <c r="B215" s="284">
        <f>+ABS(-G210+I210)</f>
        <v>0.23900000000000077</v>
      </c>
      <c r="C215" s="562" t="str">
        <f>IF(A215&lt;=J210,"vérfié","non vérifié")</f>
        <v>vérfié</v>
      </c>
      <c r="D215" s="562"/>
      <c r="E215" s="562" t="str">
        <f>IF(B215&lt;=K210,"vérfié","non vérifié")</f>
        <v>vérfié</v>
      </c>
      <c r="F215" s="562"/>
      <c r="G215" s="153"/>
      <c r="H215" s="153"/>
      <c r="I215" s="153"/>
      <c r="J215" s="153"/>
      <c r="K215" s="153"/>
      <c r="L215" s="153"/>
      <c r="M215" s="153"/>
      <c r="N215" s="400"/>
      <c r="O215" s="400"/>
      <c r="P215" s="400"/>
      <c r="Q215" s="400"/>
    </row>
    <row r="216" spans="1:17" s="76" customFormat="1" ht="20.25" thickTop="1" thickBot="1">
      <c r="A216" s="284">
        <f>ABS(-(F211-H211))</f>
        <v>0.38400000000000034</v>
      </c>
      <c r="B216" s="284">
        <f>+ABS(-G211+I211)</f>
        <v>2.7159999999999993</v>
      </c>
      <c r="C216" s="544" t="str">
        <f>IF(A216&lt;=J211,"vérfié","non vérifié")</f>
        <v>vérfié</v>
      </c>
      <c r="D216" s="545"/>
      <c r="E216" s="544" t="str">
        <f>IF(B216&lt;=K211,"vérfié","non vérifié")</f>
        <v>non vérifié</v>
      </c>
      <c r="F216" s="545"/>
      <c r="G216" s="153"/>
      <c r="H216" s="153"/>
      <c r="I216" s="153"/>
      <c r="J216" s="153"/>
      <c r="K216" s="153"/>
      <c r="L216" s="153"/>
      <c r="M216" s="153"/>
      <c r="N216" s="400"/>
      <c r="O216" s="400"/>
      <c r="P216" s="400"/>
      <c r="Q216" s="400"/>
    </row>
    <row r="217" spans="1:17" s="76" customFormat="1" ht="19.5" thickTop="1">
      <c r="A217" s="153"/>
      <c r="B217" s="153"/>
      <c r="C217" s="153"/>
      <c r="D217" s="153"/>
      <c r="E217" s="153"/>
      <c r="F217" s="153"/>
      <c r="G217" s="153"/>
      <c r="H217" s="153"/>
      <c r="I217" s="153"/>
      <c r="J217" s="153"/>
      <c r="K217" s="153"/>
      <c r="L217" s="155"/>
      <c r="M217" s="155"/>
      <c r="N217" s="156"/>
      <c r="O217" s="156"/>
      <c r="P217" s="156"/>
      <c r="Q217" s="156"/>
    </row>
    <row r="218" spans="1:17">
      <c r="A218" s="1" t="s">
        <v>716</v>
      </c>
      <c r="B218" s="30"/>
      <c r="C218" s="30"/>
      <c r="D218" s="29"/>
      <c r="E218" s="29"/>
      <c r="F218" s="30"/>
      <c r="G218" s="29"/>
      <c r="H218" s="29"/>
      <c r="I218" s="29"/>
      <c r="J218" s="29"/>
      <c r="K218" s="29"/>
    </row>
    <row r="219" spans="1:17" s="76" customFormat="1">
      <c r="A219" s="290" t="s">
        <v>60</v>
      </c>
      <c r="B219" s="30"/>
      <c r="C219" s="30"/>
      <c r="D219" s="29"/>
      <c r="E219" s="29"/>
      <c r="F219" s="30"/>
      <c r="G219" s="29"/>
      <c r="H219" s="29"/>
      <c r="I219" s="29"/>
      <c r="J219" s="29"/>
      <c r="K219" s="29"/>
    </row>
    <row r="220" spans="1:17">
      <c r="A220" s="29"/>
      <c r="B220" s="29"/>
      <c r="C220" s="30"/>
      <c r="D220" s="29"/>
      <c r="E220" s="29"/>
      <c r="F220" s="30"/>
      <c r="G220" s="29"/>
      <c r="H220" s="29"/>
      <c r="I220" s="29"/>
      <c r="J220" s="29"/>
      <c r="K220" s="29"/>
    </row>
    <row r="221" spans="1:17">
      <c r="A221" s="29"/>
      <c r="B221" s="30" t="s">
        <v>70</v>
      </c>
      <c r="C221" s="29" t="s">
        <v>83</v>
      </c>
      <c r="D221" s="29"/>
      <c r="E221" s="30"/>
      <c r="F221" s="29"/>
      <c r="G221" s="29"/>
      <c r="H221" s="29"/>
      <c r="I221" s="29"/>
      <c r="J221" s="29"/>
      <c r="K221" s="29"/>
    </row>
    <row r="222" spans="1:17" s="76" customFormat="1">
      <c r="A222" s="29"/>
      <c r="B222" s="30"/>
      <c r="C222" s="29" t="s">
        <v>84</v>
      </c>
      <c r="D222" s="29"/>
      <c r="E222" s="30"/>
      <c r="F222" s="29"/>
      <c r="G222" s="29"/>
      <c r="H222" s="29"/>
      <c r="I222" s="29"/>
      <c r="J222" s="29"/>
      <c r="K222" s="29"/>
    </row>
    <row r="223" spans="1:17" s="76" customFormat="1">
      <c r="A223" s="29"/>
      <c r="B223" s="30"/>
      <c r="C223" s="30" t="s">
        <v>85</v>
      </c>
      <c r="D223" s="29"/>
      <c r="E223" s="29"/>
      <c r="F223" s="30"/>
      <c r="G223" s="29"/>
      <c r="H223" s="29"/>
      <c r="I223" s="29"/>
      <c r="J223" s="29"/>
      <c r="K223" s="29"/>
    </row>
    <row r="224" spans="1:17" s="76" customFormat="1">
      <c r="A224" s="29"/>
      <c r="B224" s="30"/>
      <c r="C224" s="30" t="s">
        <v>86</v>
      </c>
      <c r="D224" s="29"/>
      <c r="E224" s="29"/>
      <c r="F224" s="30"/>
      <c r="G224" s="29"/>
      <c r="H224" s="29"/>
      <c r="I224" s="29"/>
      <c r="J224" s="29"/>
      <c r="K224" s="29"/>
    </row>
    <row r="225" spans="1:12" s="76" customFormat="1">
      <c r="A225" s="29"/>
      <c r="B225" s="30"/>
      <c r="C225" s="30"/>
      <c r="D225" s="315"/>
      <c r="E225" s="66"/>
      <c r="F225" s="30"/>
      <c r="G225" s="29"/>
      <c r="H225" s="29"/>
      <c r="I225" s="29"/>
      <c r="J225" s="29"/>
      <c r="K225" s="29"/>
    </row>
    <row r="226" spans="1:12">
      <c r="A226" s="291" t="s">
        <v>104</v>
      </c>
      <c r="B226" s="30"/>
      <c r="C226" s="30"/>
      <c r="D226" s="29"/>
      <c r="E226" s="316"/>
      <c r="F226" s="30"/>
      <c r="G226" s="29"/>
      <c r="H226" s="29"/>
      <c r="I226" s="29"/>
      <c r="J226" s="29"/>
      <c r="K226" s="29"/>
    </row>
    <row r="227" spans="1:12">
      <c r="A227" s="29"/>
      <c r="B227" s="29"/>
      <c r="C227" s="29"/>
      <c r="D227" s="29"/>
      <c r="E227" s="30"/>
      <c r="F227" s="30"/>
      <c r="G227" s="29"/>
      <c r="H227" s="29"/>
      <c r="I227" s="29"/>
      <c r="J227" s="29"/>
      <c r="K227" s="29"/>
    </row>
    <row r="228" spans="1:12">
      <c r="A228" s="29"/>
      <c r="B228" s="30"/>
      <c r="C228" s="30"/>
      <c r="D228" s="29"/>
      <c r="E228" s="29" t="s">
        <v>107</v>
      </c>
      <c r="F228" s="30"/>
      <c r="G228" s="29"/>
      <c r="H228" s="29"/>
      <c r="I228" s="29"/>
      <c r="J228" s="29"/>
      <c r="K228" s="29"/>
      <c r="L228" s="76"/>
    </row>
    <row r="229" spans="1:12" ht="21">
      <c r="A229" s="29"/>
      <c r="B229" s="30"/>
      <c r="C229" s="30"/>
      <c r="D229" s="29"/>
      <c r="E229" s="29" t="s">
        <v>105</v>
      </c>
      <c r="F229" s="30"/>
      <c r="G229" s="29"/>
      <c r="H229" s="29"/>
      <c r="I229" s="29"/>
      <c r="J229" s="29"/>
      <c r="K229" s="29"/>
      <c r="L229" s="77"/>
    </row>
    <row r="230" spans="1:12" s="76" customFormat="1" ht="21.75" thickBot="1">
      <c r="A230" s="290" t="s">
        <v>106</v>
      </c>
      <c r="B230" s="30"/>
      <c r="C230" s="30"/>
      <c r="D230" s="29"/>
      <c r="E230" s="29"/>
      <c r="F230" s="30"/>
      <c r="G230" s="29"/>
      <c r="H230" s="29"/>
      <c r="I230" s="29"/>
      <c r="J230" s="29"/>
      <c r="K230" s="29"/>
      <c r="L230" s="77"/>
    </row>
    <row r="231" spans="1:12" s="76" customFormat="1" ht="22.5" thickTop="1" thickBot="1">
      <c r="A231" s="490" t="s">
        <v>788</v>
      </c>
      <c r="B231" s="383">
        <v>9.0500000000000007</v>
      </c>
      <c r="C231" s="30" t="s">
        <v>61</v>
      </c>
      <c r="D231" s="29"/>
      <c r="E231" s="414">
        <f>(0.09*B234)/SQRT(B231)</f>
        <v>0.35900414746984816</v>
      </c>
      <c r="F231" s="30" t="s">
        <v>64</v>
      </c>
      <c r="G231" s="317" t="s">
        <v>320</v>
      </c>
      <c r="H231" s="318"/>
      <c r="I231" s="413">
        <f>MIN(E231,E233)</f>
        <v>0.32237097954706262</v>
      </c>
      <c r="J231" s="29" t="s">
        <v>64</v>
      </c>
      <c r="K231" s="29"/>
      <c r="L231" s="77"/>
    </row>
    <row r="232" spans="1:12" s="76" customFormat="1" ht="22.5" thickTop="1" thickBot="1">
      <c r="A232" s="490" t="s">
        <v>789</v>
      </c>
      <c r="B232" s="383">
        <v>16.63</v>
      </c>
      <c r="C232" s="30" t="s">
        <v>61</v>
      </c>
      <c r="D232" s="29"/>
      <c r="E232" s="414">
        <f>(0.09*B234)/SQRT(B232)</f>
        <v>0.26483637263297632</v>
      </c>
      <c r="F232" s="30" t="s">
        <v>64</v>
      </c>
      <c r="G232" s="317" t="s">
        <v>321</v>
      </c>
      <c r="H232" s="318"/>
      <c r="I232" s="413">
        <f>MIN(E232,E233)</f>
        <v>0.26483637263297632</v>
      </c>
      <c r="J232" s="29" t="s">
        <v>64</v>
      </c>
      <c r="K232" s="29"/>
      <c r="L232" s="77"/>
    </row>
    <row r="233" spans="1:12" s="76" customFormat="1" ht="21.75" thickTop="1">
      <c r="A233" s="29"/>
      <c r="B233" s="383">
        <v>0.05</v>
      </c>
      <c r="C233" s="30"/>
      <c r="D233" s="29"/>
      <c r="E233" s="412">
        <f>B233*POWER(B234,0.75)</f>
        <v>0.32237097954706262</v>
      </c>
      <c r="F233" s="29" t="s">
        <v>64</v>
      </c>
      <c r="G233" s="29"/>
      <c r="H233" s="29"/>
      <c r="I233" s="29"/>
      <c r="J233" s="29"/>
      <c r="K233" s="29"/>
      <c r="L233" s="77"/>
    </row>
    <row r="234" spans="1:12" s="76" customFormat="1">
      <c r="A234" s="29"/>
      <c r="B234" s="383">
        <v>12</v>
      </c>
      <c r="C234" s="30"/>
      <c r="D234" s="29"/>
      <c r="E234" s="29"/>
      <c r="F234" s="30"/>
      <c r="G234" s="29"/>
      <c r="H234" s="29"/>
      <c r="I234" s="29"/>
      <c r="J234" s="29"/>
      <c r="K234" s="29"/>
      <c r="L234" s="78"/>
    </row>
    <row r="235" spans="1:12" s="76" customFormat="1">
      <c r="A235" s="29"/>
      <c r="B235" s="44"/>
      <c r="C235" s="30"/>
      <c r="D235" s="29"/>
      <c r="E235" s="29"/>
      <c r="F235" s="30"/>
      <c r="G235" s="29"/>
      <c r="H235" s="29"/>
      <c r="I235" s="29"/>
      <c r="J235" s="29"/>
      <c r="K235" s="29"/>
      <c r="L235" s="78"/>
    </row>
    <row r="236" spans="1:12" s="76" customFormat="1" ht="21">
      <c r="A236" s="1" t="s">
        <v>717</v>
      </c>
      <c r="B236" s="30"/>
      <c r="C236" s="30"/>
      <c r="D236" s="29"/>
      <c r="E236" s="29"/>
      <c r="F236" s="30"/>
      <c r="G236" s="29"/>
      <c r="H236" s="29"/>
      <c r="I236" s="29"/>
      <c r="J236" s="29"/>
      <c r="K236" s="29"/>
      <c r="L236" s="77"/>
    </row>
    <row r="237" spans="1:12">
      <c r="A237" s="290" t="s">
        <v>87</v>
      </c>
      <c r="B237" s="30"/>
      <c r="C237" s="30"/>
      <c r="D237" s="29"/>
      <c r="E237" s="29"/>
      <c r="F237" s="30"/>
      <c r="G237" s="29"/>
      <c r="H237" s="29"/>
      <c r="I237" s="29"/>
      <c r="J237" s="29"/>
      <c r="K237" s="29"/>
    </row>
    <row r="238" spans="1:12">
      <c r="A238" s="29" t="s">
        <v>88</v>
      </c>
      <c r="B238" s="30"/>
      <c r="C238" s="30"/>
      <c r="D238" s="29"/>
      <c r="E238" s="29"/>
      <c r="F238" s="30"/>
      <c r="G238" s="29"/>
      <c r="H238" s="29"/>
      <c r="I238" s="29"/>
      <c r="J238" s="29"/>
      <c r="K238" s="29"/>
    </row>
    <row r="239" spans="1:12">
      <c r="A239" s="29" t="s">
        <v>63</v>
      </c>
      <c r="B239" s="30"/>
      <c r="C239" s="30"/>
      <c r="D239" s="29"/>
      <c r="E239" s="29"/>
      <c r="F239" s="30"/>
      <c r="G239" s="29"/>
      <c r="H239" s="29"/>
      <c r="I239" s="29"/>
      <c r="J239" s="29"/>
      <c r="K239" s="29"/>
    </row>
    <row r="240" spans="1:12" ht="22.5" customHeight="1" thickBot="1">
      <c r="A240" s="29" t="s">
        <v>62</v>
      </c>
      <c r="B240" s="30"/>
      <c r="C240" s="30"/>
      <c r="D240" s="29"/>
      <c r="E240" s="29"/>
      <c r="F240" s="30"/>
      <c r="G240" s="29"/>
      <c r="H240" s="29"/>
      <c r="I240" s="29"/>
      <c r="J240" s="29"/>
      <c r="K240" s="29"/>
    </row>
    <row r="241" spans="1:11" ht="24" customHeight="1" thickTop="1" thickBot="1">
      <c r="A241" s="29"/>
      <c r="B241" s="29"/>
      <c r="C241" s="30"/>
      <c r="D241" s="319"/>
      <c r="E241" s="29"/>
      <c r="F241" s="317" t="s">
        <v>316</v>
      </c>
      <c r="G241" s="406">
        <f>I231*1.3</f>
        <v>0.41908227341118143</v>
      </c>
      <c r="H241" s="29" t="s">
        <v>64</v>
      </c>
      <c r="I241" s="29"/>
      <c r="J241" s="29"/>
      <c r="K241" s="29"/>
    </row>
    <row r="242" spans="1:11" ht="26.25" customHeight="1" thickTop="1" thickBot="1">
      <c r="A242" s="29"/>
      <c r="B242" s="30"/>
      <c r="C242" s="30"/>
      <c r="D242" s="29"/>
      <c r="E242" s="29"/>
      <c r="F242" s="317" t="s">
        <v>317</v>
      </c>
      <c r="G242" s="406">
        <f>I232*1.3</f>
        <v>0.34428728442286921</v>
      </c>
      <c r="H242" s="29" t="s">
        <v>64</v>
      </c>
      <c r="I242" s="29"/>
      <c r="J242" s="29"/>
      <c r="K242" s="29"/>
    </row>
    <row r="243" spans="1:11" ht="20.25" customHeight="1" thickTop="1" thickBot="1">
      <c r="A243" s="29"/>
      <c r="B243" s="563" t="s">
        <v>318</v>
      </c>
      <c r="C243" s="563"/>
      <c r="D243" s="333">
        <v>0.53742000000000001</v>
      </c>
      <c r="E243" s="29"/>
      <c r="F243" s="320"/>
      <c r="G243" s="321"/>
      <c r="H243" s="29"/>
      <c r="I243" s="29"/>
      <c r="J243" s="29"/>
      <c r="K243" s="29"/>
    </row>
    <row r="244" spans="1:11" ht="20.25" thickTop="1" thickBot="1">
      <c r="A244" s="29"/>
      <c r="B244" s="563" t="s">
        <v>319</v>
      </c>
      <c r="C244" s="563"/>
      <c r="D244" s="333">
        <v>0.40866400000000003</v>
      </c>
      <c r="E244" s="29"/>
      <c r="F244" s="320"/>
      <c r="G244" s="322"/>
      <c r="H244" s="29"/>
      <c r="I244" s="29"/>
      <c r="J244" s="29"/>
      <c r="K244" s="29"/>
    </row>
    <row r="245" spans="1:11" ht="19.5" thickTop="1">
      <c r="A245" s="288" t="s">
        <v>306</v>
      </c>
      <c r="B245" s="285" t="s">
        <v>311</v>
      </c>
      <c r="C245" s="285"/>
      <c r="D245" s="285" t="s">
        <v>307</v>
      </c>
      <c r="E245" s="285"/>
      <c r="F245" s="285" t="s">
        <v>308</v>
      </c>
      <c r="G245" s="285"/>
      <c r="H245" s="323"/>
      <c r="I245" s="285"/>
      <c r="J245" s="29"/>
      <c r="K245" s="29"/>
    </row>
    <row r="246" spans="1:11">
      <c r="A246" s="288" t="s">
        <v>306</v>
      </c>
      <c r="B246" s="286" t="s">
        <v>310</v>
      </c>
      <c r="C246" s="285"/>
      <c r="D246" s="285" t="s">
        <v>313</v>
      </c>
      <c r="E246" s="285"/>
      <c r="F246" s="285"/>
      <c r="G246" s="641" t="s">
        <v>309</v>
      </c>
      <c r="H246" s="641"/>
      <c r="I246" s="324"/>
      <c r="J246" s="29"/>
      <c r="K246" s="29"/>
    </row>
    <row r="247" spans="1:11" ht="19.5" thickBot="1">
      <c r="A247" s="288" t="s">
        <v>306</v>
      </c>
      <c r="B247" s="285" t="s">
        <v>312</v>
      </c>
      <c r="C247" s="285"/>
      <c r="D247" s="285" t="s">
        <v>314</v>
      </c>
      <c r="E247" s="285"/>
      <c r="F247" s="285" t="s">
        <v>315</v>
      </c>
      <c r="G247" s="285"/>
      <c r="H247" s="323"/>
      <c r="I247" s="285"/>
      <c r="J247" s="29"/>
      <c r="K247" s="29"/>
    </row>
    <row r="248" spans="1:11" ht="20.25" thickTop="1" thickBot="1">
      <c r="A248" s="325" t="s">
        <v>322</v>
      </c>
      <c r="B248" s="405">
        <f>IF(D243&lt;I231,D243,IF(D243&lt;G241,IF(D243&gt;I231,I231),IF(D243&gt;G241,G241)))</f>
        <v>0.41908227341118143</v>
      </c>
      <c r="C248" s="566" t="str">
        <f>IF(D243&lt;I231,"T(x)numérique&lt;T(x)empérique",IF(D243&lt;G241,IF(D243&gt;I231,"T(x)empérique&lt;T(x)numérique&lt;T(x) expérimentale"),IF(D243&gt;G241,"T(x)expérimentale")))</f>
        <v>T(x)expérimentale</v>
      </c>
      <c r="D248" s="567"/>
      <c r="E248" s="567"/>
      <c r="F248" s="567"/>
      <c r="G248" s="568"/>
      <c r="H248" s="554" t="str">
        <f>IF(D243&lt;I231,"RIGIDE",IF(D243&lt;G241,IF(D243&gt;I231,"PLUS RIGIDE"),IF(D243&gt;G241,"SOUPLE")))</f>
        <v>SOUPLE</v>
      </c>
      <c r="I248" s="554"/>
      <c r="J248" s="326"/>
      <c r="K248" s="326"/>
    </row>
    <row r="249" spans="1:11" ht="20.25" thickTop="1" thickBot="1">
      <c r="A249" s="325" t="s">
        <v>323</v>
      </c>
      <c r="B249" s="405">
        <f>IF(D244&lt;I232,D244,IF(D244&lt;G242,IF(D244&gt;I232,I232),IF(D244&gt;G242,G242)))</f>
        <v>0.34428728442286921</v>
      </c>
      <c r="C249" s="566" t="str">
        <f>IF(D244&lt;I232,"T(y)numérique&lt;T(y)empérique",IF(D244&lt;G242,IF(D244&gt;I232,"T(y)empérique&lt;T(y)numérique&lt;T(y) expérimentale"),IF(D244&gt;G242,"T(y)expérimentale")))</f>
        <v>T(y)expérimentale</v>
      </c>
      <c r="D249" s="567"/>
      <c r="E249" s="567"/>
      <c r="F249" s="567"/>
      <c r="G249" s="568"/>
      <c r="H249" s="554" t="str">
        <f>IF(D244&lt;I232,"RIGIDE",IF(D244&lt;G242,IF(D244&gt;I232,"PLUS RIGIDE"),IF(D244&gt;G242,"SOUPLE")))</f>
        <v>SOUPLE</v>
      </c>
      <c r="I249" s="554"/>
      <c r="J249" s="326"/>
      <c r="K249" s="326"/>
    </row>
    <row r="250" spans="1:11" ht="19.5" thickTop="1">
      <c r="A250" s="327"/>
      <c r="B250" s="328"/>
      <c r="C250" s="285"/>
      <c r="D250" s="328"/>
      <c r="E250" s="328"/>
      <c r="F250" s="285"/>
      <c r="G250" s="29"/>
      <c r="H250" s="29"/>
      <c r="I250" s="29"/>
      <c r="J250" s="29"/>
      <c r="K250" s="29"/>
    </row>
    <row r="251" spans="1:11">
      <c r="A251" s="1" t="s">
        <v>718</v>
      </c>
      <c r="B251" s="30"/>
      <c r="C251" s="30"/>
      <c r="D251" s="29"/>
      <c r="E251" s="29"/>
      <c r="F251" s="30"/>
      <c r="G251" s="29"/>
      <c r="H251" s="29"/>
      <c r="I251" s="29"/>
      <c r="J251" s="29"/>
      <c r="K251" s="29"/>
    </row>
    <row r="252" spans="1:11">
      <c r="A252" s="290" t="s">
        <v>89</v>
      </c>
      <c r="B252" s="30"/>
      <c r="C252" s="30"/>
      <c r="D252" s="29"/>
      <c r="E252" s="29"/>
      <c r="F252" s="30"/>
      <c r="G252" s="29"/>
      <c r="H252" s="29"/>
      <c r="I252" s="29"/>
      <c r="J252" s="29"/>
      <c r="K252" s="29"/>
    </row>
    <row r="253" spans="1:11">
      <c r="A253" s="29" t="s">
        <v>90</v>
      </c>
      <c r="B253" s="30"/>
      <c r="C253" s="30"/>
      <c r="D253" s="29"/>
      <c r="E253" s="29"/>
      <c r="F253" s="30"/>
      <c r="G253" s="29"/>
      <c r="H253" s="29"/>
      <c r="I253" s="29"/>
      <c r="J253" s="29"/>
      <c r="K253" s="29"/>
    </row>
    <row r="254" spans="1:11">
      <c r="A254" s="29"/>
      <c r="B254" s="30"/>
      <c r="C254" s="30"/>
      <c r="D254" s="29"/>
      <c r="E254" s="29"/>
      <c r="F254" s="30"/>
      <c r="G254" s="29"/>
      <c r="H254" s="29"/>
      <c r="I254" s="29"/>
      <c r="J254" s="29"/>
      <c r="K254" s="29"/>
    </row>
    <row r="255" spans="1:11">
      <c r="A255" s="291" t="s">
        <v>719</v>
      </c>
      <c r="B255" s="30"/>
      <c r="C255" s="30"/>
      <c r="D255" s="29"/>
      <c r="E255" s="29"/>
      <c r="F255" s="30"/>
      <c r="G255" s="29"/>
      <c r="H255" s="29"/>
      <c r="I255" s="29"/>
      <c r="J255" s="29"/>
      <c r="K255" s="29"/>
    </row>
    <row r="256" spans="1:11">
      <c r="A256" s="290" t="s">
        <v>92</v>
      </c>
      <c r="B256" s="30"/>
      <c r="C256" s="30"/>
      <c r="D256" s="29"/>
      <c r="E256" s="29"/>
      <c r="F256" s="30"/>
      <c r="G256" s="29"/>
      <c r="H256" s="29"/>
      <c r="I256" s="29"/>
      <c r="J256" s="29"/>
      <c r="K256" s="29"/>
    </row>
    <row r="257" spans="1:11">
      <c r="A257" s="291" t="s">
        <v>439</v>
      </c>
      <c r="B257" s="30"/>
      <c r="C257" s="30"/>
      <c r="D257" s="29"/>
      <c r="E257" s="29"/>
      <c r="F257" s="30"/>
      <c r="G257" s="29"/>
      <c r="H257" s="29"/>
      <c r="I257" s="29"/>
      <c r="J257" s="29"/>
      <c r="K257" s="29"/>
    </row>
    <row r="258" spans="1:11">
      <c r="A258" s="291" t="s">
        <v>91</v>
      </c>
      <c r="B258" s="30"/>
      <c r="C258" s="30"/>
      <c r="D258" s="29"/>
      <c r="E258" s="29"/>
      <c r="F258" s="383">
        <v>0.15</v>
      </c>
      <c r="G258" s="29"/>
      <c r="H258" s="29"/>
      <c r="I258" s="29"/>
      <c r="J258" s="29"/>
      <c r="K258" s="29"/>
    </row>
    <row r="259" spans="1:11">
      <c r="A259" s="291" t="s">
        <v>720</v>
      </c>
      <c r="B259" s="30"/>
      <c r="C259" s="30"/>
      <c r="D259" s="29"/>
      <c r="E259" s="29"/>
      <c r="F259" s="30"/>
      <c r="G259" s="29"/>
      <c r="H259" s="29"/>
      <c r="I259" s="29"/>
      <c r="J259" s="29"/>
      <c r="K259" s="29"/>
    </row>
    <row r="260" spans="1:11">
      <c r="A260" s="290" t="s">
        <v>93</v>
      </c>
      <c r="B260" s="30"/>
      <c r="C260" s="30"/>
      <c r="D260" s="29"/>
      <c r="E260" s="29"/>
      <c r="F260" s="30"/>
      <c r="G260" s="29"/>
      <c r="H260" s="29"/>
      <c r="I260" s="29"/>
      <c r="J260" s="29"/>
      <c r="K260" s="29"/>
    </row>
    <row r="261" spans="1:11">
      <c r="A261" s="29" t="s">
        <v>94</v>
      </c>
      <c r="B261" s="30"/>
      <c r="C261" s="30"/>
      <c r="D261" s="29"/>
      <c r="E261" s="29"/>
      <c r="F261" s="30"/>
      <c r="G261" s="29"/>
      <c r="H261" s="29"/>
      <c r="I261" s="29"/>
      <c r="J261" s="29"/>
      <c r="K261" s="29"/>
    </row>
    <row r="262" spans="1:11">
      <c r="A262" s="291" t="s">
        <v>95</v>
      </c>
      <c r="B262" s="30"/>
      <c r="C262" s="30"/>
      <c r="D262" s="29"/>
      <c r="E262" s="29"/>
      <c r="F262" s="30" t="s">
        <v>96</v>
      </c>
      <c r="G262" s="29"/>
      <c r="H262" s="29"/>
      <c r="I262" s="29"/>
      <c r="J262" s="29"/>
      <c r="K262" s="29"/>
    </row>
    <row r="263" spans="1:11">
      <c r="A263" s="290" t="s">
        <v>97</v>
      </c>
      <c r="B263" s="30"/>
      <c r="C263" s="30"/>
      <c r="D263" s="29"/>
      <c r="E263" s="29"/>
      <c r="F263" s="30"/>
      <c r="G263" s="29"/>
      <c r="H263" s="29"/>
      <c r="I263" s="29"/>
      <c r="J263" s="29"/>
      <c r="K263" s="29"/>
    </row>
    <row r="264" spans="1:11" ht="21">
      <c r="A264" s="29" t="s">
        <v>98</v>
      </c>
      <c r="B264" s="30"/>
      <c r="C264" s="30"/>
      <c r="D264" s="29"/>
      <c r="E264" s="29"/>
      <c r="F264" s="475">
        <v>7</v>
      </c>
      <c r="G264" s="29"/>
      <c r="H264" s="29"/>
      <c r="I264" s="473"/>
      <c r="J264" s="29"/>
      <c r="K264" s="29"/>
    </row>
    <row r="265" spans="1:11" ht="20.25">
      <c r="A265" s="291" t="s">
        <v>99</v>
      </c>
      <c r="B265" s="30"/>
      <c r="C265" s="30"/>
      <c r="D265" s="29"/>
      <c r="E265" s="29"/>
      <c r="F265" s="30" t="s">
        <v>96</v>
      </c>
      <c r="G265" s="29"/>
      <c r="H265" s="29"/>
      <c r="I265" s="474"/>
      <c r="J265" s="29"/>
      <c r="K265" s="29"/>
    </row>
    <row r="266" spans="1:11">
      <c r="A266" s="29" t="s">
        <v>100</v>
      </c>
      <c r="B266" s="30"/>
      <c r="C266" s="30"/>
      <c r="D266" s="29"/>
      <c r="E266" s="29"/>
      <c r="F266" s="30"/>
      <c r="G266" s="29"/>
      <c r="H266" s="29"/>
      <c r="I266" s="29"/>
      <c r="J266" s="29"/>
      <c r="K266" s="29"/>
    </row>
    <row r="267" spans="1:11">
      <c r="A267" s="29"/>
      <c r="B267" s="411">
        <f>SQRT(7/(2+F264))</f>
        <v>0.88191710368819687</v>
      </c>
      <c r="C267" s="30"/>
      <c r="D267" s="29"/>
      <c r="E267" s="29"/>
      <c r="F267" s="30"/>
      <c r="G267" s="29"/>
      <c r="H267" s="29"/>
      <c r="I267" s="29"/>
      <c r="J267" s="29"/>
      <c r="K267" s="29"/>
    </row>
    <row r="268" spans="1:11">
      <c r="A268" s="291" t="s">
        <v>101</v>
      </c>
      <c r="B268" s="30"/>
      <c r="C268" s="30"/>
      <c r="D268" s="29"/>
      <c r="E268" s="29"/>
      <c r="F268" s="30"/>
      <c r="G268" s="29"/>
      <c r="H268" s="29"/>
      <c r="I268" s="29"/>
      <c r="J268" s="29"/>
      <c r="K268" s="29"/>
    </row>
    <row r="269" spans="1:11">
      <c r="A269" s="290" t="s">
        <v>102</v>
      </c>
      <c r="B269" s="30"/>
      <c r="C269" s="30"/>
      <c r="D269" s="29"/>
      <c r="E269" s="29"/>
      <c r="F269" s="30"/>
      <c r="G269" s="29"/>
      <c r="H269" s="29"/>
      <c r="I269" s="29"/>
      <c r="J269" s="29"/>
      <c r="K269" s="29"/>
    </row>
    <row r="270" spans="1:11">
      <c r="A270" s="290" t="s">
        <v>198</v>
      </c>
      <c r="C270" s="383" t="s">
        <v>802</v>
      </c>
      <c r="D270" s="30"/>
      <c r="E270" s="411">
        <f>IF(C270="S1",Feuil1!C6,IF(C270="S2",Feuil1!D6,IF(C270="S3",Feuil1!E6,IF(C270="S4",Feuil1!F6))))</f>
        <v>0.4</v>
      </c>
      <c r="F270" s="29" t="s">
        <v>64</v>
      </c>
      <c r="G270" s="29"/>
      <c r="H270" s="29"/>
      <c r="I270" s="29"/>
      <c r="J270" s="29"/>
      <c r="K270" s="29"/>
    </row>
    <row r="271" spans="1:11">
      <c r="A271" s="29"/>
      <c r="B271" s="30"/>
      <c r="C271" s="29"/>
      <c r="D271" s="29"/>
      <c r="E271" s="29"/>
      <c r="F271" s="30"/>
      <c r="G271" s="329" t="s">
        <v>721</v>
      </c>
      <c r="H271" s="29"/>
      <c r="I271" s="29"/>
      <c r="J271" s="29"/>
      <c r="K271" s="29"/>
    </row>
    <row r="272" spans="1:11">
      <c r="A272" s="29"/>
      <c r="B272" s="30"/>
      <c r="C272" s="320" t="s">
        <v>330</v>
      </c>
      <c r="D272" s="330"/>
      <c r="E272" s="29"/>
      <c r="F272" s="30"/>
      <c r="G272" s="329" t="s">
        <v>722</v>
      </c>
      <c r="H272" s="29"/>
      <c r="I272" s="29"/>
      <c r="J272" s="29"/>
      <c r="K272" s="29"/>
    </row>
    <row r="273" spans="1:16">
      <c r="A273" s="29"/>
      <c r="B273" s="29"/>
      <c r="C273" s="29"/>
      <c r="D273" s="29"/>
      <c r="E273" s="30"/>
      <c r="F273" s="30"/>
      <c r="G273" s="329" t="s">
        <v>723</v>
      </c>
      <c r="H273" s="29"/>
      <c r="I273" s="29"/>
      <c r="J273" s="29"/>
      <c r="K273" s="29"/>
    </row>
    <row r="274" spans="1:16">
      <c r="A274" s="29"/>
      <c r="B274" s="30"/>
      <c r="C274" s="30"/>
      <c r="D274" s="29"/>
      <c r="E274" s="29"/>
      <c r="F274" s="30"/>
      <c r="G274" s="29"/>
      <c r="H274" s="29"/>
      <c r="I274" s="29"/>
      <c r="J274" s="29"/>
      <c r="K274" s="29"/>
    </row>
    <row r="275" spans="1:16" s="76" customFormat="1">
      <c r="A275" s="29"/>
      <c r="B275" s="30"/>
      <c r="C275" s="30"/>
      <c r="D275" s="29"/>
      <c r="E275" s="29"/>
      <c r="F275" s="30"/>
      <c r="G275" s="29"/>
      <c r="H275" s="29"/>
      <c r="I275" s="29"/>
      <c r="J275" s="29"/>
      <c r="K275" s="29"/>
    </row>
    <row r="276" spans="1:16">
      <c r="A276" s="29"/>
      <c r="B276" s="312"/>
      <c r="C276" s="30"/>
      <c r="D276" s="29" t="s">
        <v>108</v>
      </c>
      <c r="E276" s="412">
        <f>IF(B248&lt;=E270,2.5*B267,IF(B248&lt;=3,IF(B248&gt;=E270,2.5*B267*(E270/B248)^(2/3),IF(B248&gt;=3,2.5*B267*(E270/3)^2/3*(3/B248)^5/3))))</f>
        <v>2.1373463673348736</v>
      </c>
      <c r="F276" s="30"/>
      <c r="G276" s="29"/>
      <c r="H276" s="29"/>
      <c r="I276" s="29"/>
      <c r="J276" s="29"/>
      <c r="K276" s="29"/>
    </row>
    <row r="277" spans="1:16">
      <c r="A277" s="29"/>
      <c r="B277" s="312"/>
      <c r="C277" s="30"/>
      <c r="D277" s="29" t="s">
        <v>109</v>
      </c>
      <c r="E277" s="412">
        <f>IF(B249&lt;=E270,2.5*B267,IF(B249&lt;=3,IF(B249&gt;=E270,2.5*B267*(E270/B249)^(2/3),IF(B249&gt;=3,2.5*B267*(E270/3)^2/3*(3/B249)^5/3))))</f>
        <v>2.2047927592204921</v>
      </c>
      <c r="F277" s="30"/>
      <c r="G277" s="29"/>
      <c r="H277" s="29"/>
      <c r="I277" s="29"/>
      <c r="J277" s="29"/>
      <c r="K277" s="29"/>
    </row>
    <row r="278" spans="1:16">
      <c r="A278" s="29"/>
      <c r="B278" s="30"/>
      <c r="C278" s="30"/>
      <c r="D278" s="29"/>
      <c r="E278" s="29"/>
      <c r="F278" s="30"/>
      <c r="G278" s="29"/>
      <c r="H278" s="29"/>
      <c r="I278" s="29"/>
      <c r="J278" s="29"/>
      <c r="K278" s="29"/>
    </row>
    <row r="279" spans="1:16">
      <c r="A279" s="291" t="s">
        <v>110</v>
      </c>
      <c r="B279" s="30"/>
      <c r="C279" s="30"/>
      <c r="D279" s="29"/>
      <c r="E279" s="29"/>
      <c r="F279" s="331" t="s">
        <v>111</v>
      </c>
      <c r="G279" s="383">
        <v>1.25</v>
      </c>
      <c r="H279" s="29"/>
      <c r="I279" s="29"/>
      <c r="J279" s="29"/>
      <c r="K279" s="29"/>
    </row>
    <row r="280" spans="1:16">
      <c r="A280" s="29"/>
      <c r="B280" s="30"/>
      <c r="C280" s="30" t="s">
        <v>10</v>
      </c>
      <c r="D280" s="29"/>
      <c r="E280" s="29"/>
      <c r="F280" s="30"/>
      <c r="G280" s="29"/>
      <c r="H280" s="29"/>
      <c r="I280" s="29"/>
      <c r="J280" s="29"/>
      <c r="K280" s="29"/>
    </row>
    <row r="281" spans="1:16">
      <c r="A281" s="291" t="s">
        <v>112</v>
      </c>
      <c r="B281" s="30"/>
      <c r="C281" s="30"/>
      <c r="D281" s="29"/>
      <c r="E281" s="29"/>
      <c r="F281" s="30"/>
      <c r="G281" s="29"/>
      <c r="H281" s="29"/>
      <c r="I281" s="29"/>
      <c r="J281" s="29"/>
      <c r="K281" s="29"/>
    </row>
    <row r="282" spans="1:16">
      <c r="A282" s="290" t="s">
        <v>113</v>
      </c>
      <c r="B282" s="30"/>
      <c r="C282" s="30"/>
      <c r="D282" s="29"/>
      <c r="E282" s="29"/>
      <c r="F282" s="30"/>
      <c r="G282" s="29"/>
      <c r="H282" s="29"/>
      <c r="I282" s="29"/>
      <c r="J282" s="29"/>
      <c r="K282" s="29"/>
      <c r="L282" s="49"/>
    </row>
    <row r="283" spans="1:16">
      <c r="A283" s="29" t="s">
        <v>114</v>
      </c>
      <c r="B283" s="30"/>
      <c r="C283" s="30"/>
      <c r="D283" s="29"/>
      <c r="E283" s="29"/>
      <c r="F283" s="332" t="s">
        <v>115</v>
      </c>
      <c r="G283" s="383">
        <v>3.5</v>
      </c>
      <c r="H283" s="29"/>
      <c r="I283" s="29"/>
      <c r="J283" s="29"/>
      <c r="K283" s="29"/>
      <c r="L283" s="49"/>
    </row>
    <row r="284" spans="1:16">
      <c r="A284" s="29"/>
      <c r="B284" s="30"/>
      <c r="C284" s="30"/>
      <c r="D284" s="29"/>
      <c r="E284" s="29"/>
      <c r="F284" s="30"/>
      <c r="G284" s="29"/>
      <c r="H284" s="29"/>
      <c r="I284" s="29"/>
      <c r="J284" s="29"/>
      <c r="K284" s="29"/>
      <c r="L284" s="49"/>
    </row>
    <row r="285" spans="1:16">
      <c r="A285" s="291" t="s">
        <v>116</v>
      </c>
      <c r="B285" s="30"/>
      <c r="C285" s="30"/>
      <c r="D285" s="29"/>
      <c r="E285" s="311" t="s">
        <v>117</v>
      </c>
      <c r="F285" s="158">
        <v>4000.71</v>
      </c>
      <c r="G285" s="56" t="s">
        <v>118</v>
      </c>
      <c r="H285" s="29"/>
      <c r="I285" s="29"/>
      <c r="J285" s="29"/>
      <c r="K285" s="29"/>
      <c r="L285" s="49"/>
    </row>
    <row r="286" spans="1:16" ht="18.75" customHeight="1">
      <c r="A286" s="29" t="s">
        <v>62</v>
      </c>
      <c r="B286" s="30"/>
      <c r="C286" s="30"/>
      <c r="D286" s="29"/>
      <c r="E286" s="29"/>
      <c r="F286" s="30"/>
      <c r="G286" s="29"/>
      <c r="H286" s="29"/>
      <c r="I286" s="29"/>
      <c r="J286" s="29"/>
      <c r="K286" s="29"/>
      <c r="L286" s="49"/>
    </row>
    <row r="287" spans="1:16">
      <c r="A287" s="29"/>
      <c r="B287" s="30"/>
      <c r="C287" s="30"/>
      <c r="D287" s="29"/>
      <c r="E287" s="411">
        <f>(F258*E276*G279*F285)/G283</f>
        <v>458.08408849608759</v>
      </c>
      <c r="F287" s="56" t="s">
        <v>118</v>
      </c>
      <c r="G287" s="29"/>
      <c r="H287" s="29"/>
      <c r="I287" s="29"/>
      <c r="J287" s="29"/>
      <c r="K287" s="29"/>
      <c r="N287" s="46"/>
      <c r="O287" s="45"/>
    </row>
    <row r="288" spans="1:16">
      <c r="A288" s="29"/>
      <c r="B288" s="30"/>
      <c r="C288" s="30"/>
      <c r="D288" s="29"/>
      <c r="E288" s="411">
        <f>(F258*E277*G279*F285)/G283</f>
        <v>472.53945212898287</v>
      </c>
      <c r="F288" s="56" t="s">
        <v>118</v>
      </c>
      <c r="G288" s="29"/>
      <c r="H288" s="29"/>
      <c r="I288" s="29"/>
      <c r="J288" s="29"/>
      <c r="K288" s="29"/>
      <c r="L288" s="49"/>
      <c r="M288" s="49"/>
      <c r="N288" s="49"/>
      <c r="O288" s="49"/>
      <c r="P288" s="49"/>
    </row>
    <row r="289" spans="1:16">
      <c r="A289" s="30" t="s">
        <v>65</v>
      </c>
      <c r="B289" s="30"/>
      <c r="C289" s="30"/>
      <c r="D289" s="29"/>
      <c r="E289" s="29" t="s">
        <v>119</v>
      </c>
      <c r="F289" s="30"/>
      <c r="G289" s="29"/>
      <c r="H289" s="29"/>
      <c r="I289" s="29"/>
      <c r="J289" s="29"/>
      <c r="L289" s="494">
        <v>366.66</v>
      </c>
      <c r="M289" s="49"/>
      <c r="N289" s="49"/>
      <c r="O289" s="49"/>
      <c r="P289" s="49"/>
    </row>
    <row r="290" spans="1:16">
      <c r="A290" s="29"/>
      <c r="B290" s="30"/>
      <c r="C290" s="30"/>
      <c r="D290" s="29"/>
      <c r="E290" s="29"/>
      <c r="F290" s="30"/>
      <c r="G290" s="29"/>
      <c r="H290" s="29"/>
      <c r="I290" s="29"/>
      <c r="J290" s="29"/>
      <c r="L290" s="494">
        <v>383.02</v>
      </c>
      <c r="M290" s="49"/>
      <c r="N290" s="49"/>
      <c r="O290" s="49"/>
      <c r="P290" s="49"/>
    </row>
    <row r="291" spans="1:16">
      <c r="A291" s="157"/>
      <c r="B291" s="569"/>
      <c r="C291" s="569"/>
      <c r="D291" s="570"/>
      <c r="E291" s="570"/>
      <c r="F291" s="579" t="s">
        <v>120</v>
      </c>
      <c r="G291" s="580"/>
      <c r="H291" s="581"/>
      <c r="I291" s="645" t="s">
        <v>412</v>
      </c>
      <c r="J291" s="646"/>
      <c r="K291" s="29"/>
      <c r="L291" s="49"/>
      <c r="M291" s="49"/>
      <c r="N291" s="49"/>
      <c r="O291" s="49"/>
      <c r="P291" s="49"/>
    </row>
    <row r="292" spans="1:16">
      <c r="A292" s="157" t="s">
        <v>804</v>
      </c>
      <c r="B292" s="571">
        <f>L289</f>
        <v>366.66</v>
      </c>
      <c r="C292" s="572"/>
      <c r="D292" s="574">
        <f>0.8*E287</f>
        <v>366.46727079687008</v>
      </c>
      <c r="E292" s="575"/>
      <c r="F292" s="576" t="str">
        <f>IF(B292&gt;=D292,"vérifiée", "Non vérifié ")</f>
        <v>vérifiée</v>
      </c>
      <c r="G292" s="577"/>
      <c r="H292" s="578"/>
      <c r="I292" s="564">
        <f>D292/B292</f>
        <v>0.99947436534356093</v>
      </c>
      <c r="J292" s="565"/>
      <c r="K292" s="29"/>
      <c r="L292" s="49"/>
      <c r="M292" s="49"/>
      <c r="N292" s="49"/>
      <c r="O292" s="49"/>
      <c r="P292" s="49"/>
    </row>
    <row r="293" spans="1:16">
      <c r="A293" s="157" t="s">
        <v>803</v>
      </c>
      <c r="B293" s="571">
        <f>L290</f>
        <v>383.02</v>
      </c>
      <c r="C293" s="573"/>
      <c r="D293" s="574">
        <f>0.8*E288</f>
        <v>378.0315617031863</v>
      </c>
      <c r="E293" s="575"/>
      <c r="F293" s="576" t="str">
        <f>IF(B293&gt;=D293,"vérifiée", "non vérifié ")</f>
        <v>vérifiée</v>
      </c>
      <c r="G293" s="577"/>
      <c r="H293" s="578"/>
      <c r="I293" s="564">
        <f>D293/B293</f>
        <v>0.98697603702988435</v>
      </c>
      <c r="J293" s="565"/>
      <c r="K293" s="29"/>
      <c r="L293" s="49"/>
      <c r="M293" s="49"/>
      <c r="N293" s="49"/>
      <c r="O293" s="49"/>
      <c r="P293" s="49"/>
    </row>
    <row r="294" spans="1:16">
      <c r="A294" s="1" t="s">
        <v>724</v>
      </c>
      <c r="B294" s="30"/>
      <c r="C294" s="30"/>
      <c r="D294" s="29"/>
      <c r="E294" s="29"/>
      <c r="F294" s="30"/>
      <c r="G294" s="29"/>
      <c r="H294" s="29"/>
      <c r="I294" s="29"/>
      <c r="J294" s="29"/>
      <c r="K294" s="29"/>
    </row>
    <row r="295" spans="1:16" ht="19.5" thickBot="1">
      <c r="A295" s="29"/>
      <c r="B295" s="30"/>
      <c r="C295" s="30"/>
      <c r="D295" s="29"/>
      <c r="E295" s="29"/>
      <c r="F295" s="30"/>
      <c r="G295" s="29"/>
      <c r="H295" s="29"/>
      <c r="I295" s="29"/>
      <c r="J295" s="29"/>
      <c r="K295" s="29"/>
    </row>
    <row r="296" spans="1:16" s="76" customFormat="1" ht="18.75" customHeight="1" thickTop="1" thickBot="1">
      <c r="A296" s="517" t="s">
        <v>121</v>
      </c>
      <c r="B296" s="518" t="s">
        <v>122</v>
      </c>
      <c r="C296" s="519" t="s">
        <v>123</v>
      </c>
      <c r="D296" s="518" t="s">
        <v>124</v>
      </c>
      <c r="E296" s="518" t="s">
        <v>125</v>
      </c>
      <c r="F296" s="518" t="s">
        <v>126</v>
      </c>
      <c r="G296" s="517" t="s">
        <v>469</v>
      </c>
      <c r="H296" s="517" t="s">
        <v>470</v>
      </c>
      <c r="I296" s="29"/>
      <c r="J296" s="29"/>
      <c r="K296" s="29"/>
    </row>
    <row r="297" spans="1:16" s="76" customFormat="1" ht="20.25" thickTop="1" thickBot="1">
      <c r="A297" s="517"/>
      <c r="B297" s="518"/>
      <c r="C297" s="519"/>
      <c r="D297" s="518"/>
      <c r="E297" s="518"/>
      <c r="F297" s="518"/>
      <c r="G297" s="517"/>
      <c r="H297" s="517"/>
      <c r="I297" s="29"/>
      <c r="J297" s="29"/>
      <c r="K297" s="29"/>
    </row>
    <row r="298" spans="1:16" ht="20.25" thickTop="1" thickBot="1">
      <c r="A298" s="517"/>
      <c r="B298" s="518"/>
      <c r="C298" s="519"/>
      <c r="D298" s="518"/>
      <c r="E298" s="518"/>
      <c r="F298" s="518"/>
      <c r="G298" s="517"/>
      <c r="H298" s="517"/>
      <c r="I298" s="29"/>
      <c r="J298" s="312"/>
      <c r="K298" s="56"/>
    </row>
    <row r="299" spans="1:16" ht="20.25" thickTop="1" thickBot="1">
      <c r="A299" s="275">
        <v>1</v>
      </c>
      <c r="B299" s="333">
        <v>0.53742000000000001</v>
      </c>
      <c r="C299" s="334">
        <v>76.688100000000006</v>
      </c>
      <c r="D299" s="334">
        <v>0.47699999999999998</v>
      </c>
      <c r="E299" s="335">
        <v>76.688100000000006</v>
      </c>
      <c r="F299" s="336">
        <v>0.47699999999999998</v>
      </c>
      <c r="G299" s="337">
        <v>6.4656000000000002</v>
      </c>
      <c r="H299" s="338">
        <f>F285</f>
        <v>4000.71</v>
      </c>
      <c r="I299" s="512" t="s">
        <v>736</v>
      </c>
      <c r="J299" s="513"/>
      <c r="K299" s="514"/>
    </row>
    <row r="300" spans="1:16" ht="20.25" thickTop="1" thickBot="1">
      <c r="A300" s="275">
        <v>2</v>
      </c>
      <c r="B300" s="491">
        <v>0.46376000000000001</v>
      </c>
      <c r="C300" s="334">
        <v>82.411799999999999</v>
      </c>
      <c r="D300" s="334">
        <v>28.498000000000001</v>
      </c>
      <c r="E300" s="276">
        <v>5.7237</v>
      </c>
      <c r="F300" s="336">
        <v>28.021100000000001</v>
      </c>
      <c r="G300" s="492">
        <v>49.573799999999999</v>
      </c>
      <c r="H300" s="338">
        <f>H299</f>
        <v>4000.71</v>
      </c>
      <c r="I300" s="512" t="s">
        <v>651</v>
      </c>
      <c r="J300" s="513"/>
      <c r="K300" s="514"/>
    </row>
    <row r="301" spans="1:16" ht="20.25" thickTop="1" thickBot="1">
      <c r="A301" s="275">
        <v>3</v>
      </c>
      <c r="B301" s="333">
        <v>0.40866400000000003</v>
      </c>
      <c r="C301" s="334">
        <v>83.269400000000005</v>
      </c>
      <c r="D301" s="334">
        <v>81.5989</v>
      </c>
      <c r="E301" s="275">
        <v>0.85760000000000003</v>
      </c>
      <c r="F301" s="339">
        <v>53.100900000000003</v>
      </c>
      <c r="G301" s="493">
        <v>25.4011</v>
      </c>
      <c r="H301" s="481">
        <f t="shared" ref="H301:H304" si="6">H300</f>
        <v>4000.71</v>
      </c>
      <c r="I301" s="512" t="s">
        <v>737</v>
      </c>
      <c r="J301" s="513"/>
      <c r="K301" s="514"/>
    </row>
    <row r="302" spans="1:16" ht="20.25" thickTop="1" thickBot="1">
      <c r="A302" s="276">
        <v>4</v>
      </c>
      <c r="B302" s="341">
        <v>0.17383899999999999</v>
      </c>
      <c r="C302" s="343">
        <v>93.959100000000007</v>
      </c>
      <c r="D302" s="334">
        <v>81.641599999999997</v>
      </c>
      <c r="E302" s="275">
        <v>10.6897</v>
      </c>
      <c r="F302" s="340">
        <v>4.2700000000000002E-2</v>
      </c>
      <c r="G302" s="337">
        <v>1.0126999999999999</v>
      </c>
      <c r="H302" s="481">
        <f t="shared" si="6"/>
        <v>4000.71</v>
      </c>
      <c r="I302" s="48"/>
      <c r="J302" s="48"/>
      <c r="K302" s="48"/>
    </row>
    <row r="303" spans="1:16" ht="20.25" thickTop="1" thickBot="1">
      <c r="A303" s="276">
        <v>5</v>
      </c>
      <c r="B303" s="341">
        <v>0.157301</v>
      </c>
      <c r="C303" s="334">
        <v>95.282799999999995</v>
      </c>
      <c r="D303" s="343">
        <v>85.260599999999997</v>
      </c>
      <c r="E303" s="275">
        <v>1.3236000000000001</v>
      </c>
      <c r="F303" s="340">
        <v>3.6190000000000002</v>
      </c>
      <c r="G303" s="337">
        <v>6.2110000000000003</v>
      </c>
      <c r="H303" s="481">
        <f t="shared" si="6"/>
        <v>4000.71</v>
      </c>
      <c r="I303" s="509" t="s">
        <v>652</v>
      </c>
      <c r="J303" s="510"/>
      <c r="K303" s="511"/>
      <c r="L303" s="59"/>
      <c r="M303" s="51"/>
      <c r="N303" s="34"/>
      <c r="O303" s="34"/>
    </row>
    <row r="304" spans="1:16" ht="20.25" thickTop="1" thickBot="1">
      <c r="A304" s="275">
        <v>6</v>
      </c>
      <c r="B304" s="341">
        <v>0.14135300000000001</v>
      </c>
      <c r="C304" s="342">
        <v>95.659800000000004</v>
      </c>
      <c r="D304" s="342">
        <v>92.099599999999995</v>
      </c>
      <c r="E304" s="275">
        <v>0.377</v>
      </c>
      <c r="F304" s="340">
        <v>6.8390000000000004</v>
      </c>
      <c r="G304" s="337">
        <v>5.2196999999999996</v>
      </c>
      <c r="H304" s="481">
        <f t="shared" si="6"/>
        <v>4000.71</v>
      </c>
      <c r="I304" s="509" t="s">
        <v>653</v>
      </c>
      <c r="J304" s="513"/>
      <c r="K304" s="514"/>
      <c r="L304" s="59"/>
      <c r="M304" s="51"/>
      <c r="N304" s="34"/>
      <c r="O304" s="34"/>
    </row>
    <row r="305" spans="1:15" s="53" customFormat="1" ht="12" customHeight="1" thickTop="1">
      <c r="A305" s="344"/>
      <c r="B305" s="271"/>
      <c r="C305" s="345"/>
      <c r="D305" s="345"/>
      <c r="E305" s="346"/>
      <c r="F305" s="347"/>
      <c r="G305" s="344"/>
      <c r="H305" s="344"/>
      <c r="I305" s="29"/>
      <c r="J305" s="29"/>
      <c r="K305" s="29"/>
      <c r="L305" s="60"/>
      <c r="M305" s="61"/>
      <c r="N305" s="62"/>
      <c r="O305" s="62"/>
    </row>
    <row r="306" spans="1:15">
      <c r="A306" s="1" t="s">
        <v>725</v>
      </c>
      <c r="B306" s="30"/>
      <c r="C306" s="30"/>
      <c r="D306" s="29"/>
      <c r="E306" s="29"/>
      <c r="F306" s="30"/>
      <c r="G306" s="29"/>
      <c r="H306" s="29"/>
      <c r="I306" s="29"/>
      <c r="J306" s="29"/>
      <c r="K306" s="349"/>
    </row>
    <row r="307" spans="1:15">
      <c r="A307" s="290" t="s">
        <v>161</v>
      </c>
      <c r="B307" s="30"/>
      <c r="C307" s="30"/>
      <c r="D307" s="29"/>
      <c r="E307" s="29"/>
      <c r="F307" s="30"/>
      <c r="G307" s="29"/>
      <c r="H307" s="29"/>
      <c r="I307" s="29"/>
      <c r="J307" s="29"/>
      <c r="K307" s="349"/>
      <c r="L307" s="49"/>
      <c r="M307" s="49"/>
      <c r="N307" s="49"/>
      <c r="O307" s="49"/>
    </row>
    <row r="308" spans="1:15">
      <c r="A308" s="29" t="s">
        <v>128</v>
      </c>
      <c r="B308" s="30"/>
      <c r="C308" s="29"/>
      <c r="D308" s="29"/>
      <c r="E308" s="29" t="s">
        <v>129</v>
      </c>
      <c r="F308" s="30"/>
      <c r="G308" s="29"/>
      <c r="H308" s="29"/>
      <c r="I308" s="29"/>
      <c r="J308" s="272"/>
      <c r="K308" s="349"/>
      <c r="L308" s="49"/>
      <c r="M308" s="49"/>
      <c r="N308" s="49"/>
      <c r="O308" s="49"/>
    </row>
    <row r="309" spans="1:15">
      <c r="A309" s="29"/>
      <c r="B309" s="30"/>
      <c r="C309" s="30"/>
      <c r="D309" s="29"/>
      <c r="E309" s="29"/>
      <c r="F309" s="30"/>
      <c r="G309" s="29"/>
      <c r="H309" s="29"/>
      <c r="I309" s="29"/>
      <c r="J309" s="56"/>
      <c r="K309" s="56"/>
      <c r="L309" s="49"/>
      <c r="M309" s="49"/>
      <c r="N309" s="49"/>
      <c r="O309" s="49"/>
    </row>
    <row r="310" spans="1:15">
      <c r="A310" s="29" t="s">
        <v>130</v>
      </c>
      <c r="B310" s="30"/>
      <c r="C310" s="30"/>
      <c r="D310" s="29"/>
      <c r="E310" s="29"/>
      <c r="F310" s="30"/>
      <c r="G310" s="29"/>
      <c r="H310" s="29"/>
      <c r="I310" s="29"/>
      <c r="J310" s="312"/>
      <c r="K310" s="312"/>
      <c r="L310" s="49"/>
      <c r="M310" s="49"/>
      <c r="N310" s="49"/>
      <c r="O310" s="49"/>
    </row>
    <row r="311" spans="1:15">
      <c r="A311" s="29" t="s">
        <v>131</v>
      </c>
      <c r="B311" s="30"/>
      <c r="C311" s="30"/>
      <c r="D311" s="29"/>
      <c r="E311" s="29"/>
      <c r="F311" s="30"/>
      <c r="G311" s="29"/>
      <c r="H311" s="29"/>
      <c r="I311" s="29"/>
      <c r="J311" s="312"/>
      <c r="K311" s="312"/>
      <c r="L311" s="49"/>
      <c r="M311" s="49"/>
      <c r="N311" s="49"/>
      <c r="O311" s="49"/>
    </row>
    <row r="312" spans="1:15" s="53" customFormat="1">
      <c r="A312" s="56" t="s">
        <v>137</v>
      </c>
      <c r="B312" s="44">
        <v>25</v>
      </c>
      <c r="C312" s="312" t="s">
        <v>0</v>
      </c>
      <c r="D312" s="29"/>
      <c r="E312" s="29"/>
      <c r="F312" s="30"/>
      <c r="G312" s="29"/>
      <c r="H312" s="29"/>
      <c r="I312" s="29"/>
      <c r="J312" s="312"/>
      <c r="K312" s="312"/>
      <c r="L312" s="58"/>
      <c r="M312" s="58"/>
      <c r="N312" s="58"/>
      <c r="O312" s="58"/>
    </row>
    <row r="313" spans="1:15">
      <c r="A313" s="527" t="s">
        <v>127</v>
      </c>
      <c r="B313" s="588" t="s">
        <v>132</v>
      </c>
      <c r="C313" s="589"/>
      <c r="D313" s="595"/>
      <c r="E313" s="527" t="s">
        <v>133</v>
      </c>
      <c r="F313" s="527"/>
      <c r="G313" s="523" t="s">
        <v>120</v>
      </c>
      <c r="H313" s="525"/>
      <c r="I313" s="310"/>
      <c r="J313" s="384"/>
      <c r="K313" s="384"/>
      <c r="L313" s="70"/>
    </row>
    <row r="314" spans="1:15">
      <c r="A314" s="528"/>
      <c r="B314" s="430" t="s">
        <v>134</v>
      </c>
      <c r="C314" s="430" t="s">
        <v>135</v>
      </c>
      <c r="D314" s="430" t="s">
        <v>136</v>
      </c>
      <c r="E314" s="528"/>
      <c r="F314" s="528"/>
      <c r="G314" s="524"/>
      <c r="H314" s="526"/>
      <c r="I314" s="310"/>
      <c r="J314" s="384"/>
      <c r="K314" s="384"/>
      <c r="L314" s="70"/>
    </row>
    <row r="315" spans="1:15">
      <c r="A315" s="391">
        <v>1</v>
      </c>
      <c r="B315" s="274">
        <v>30</v>
      </c>
      <c r="C315" s="274">
        <v>40</v>
      </c>
      <c r="D315" s="274">
        <f t="shared" ref="D315:D318" si="7">B315*C315</f>
        <v>1200</v>
      </c>
      <c r="E315" s="382">
        <v>422.88</v>
      </c>
      <c r="F315" s="352">
        <f>(E315*1000)/(D315*100*B312)</f>
        <v>0.14096</v>
      </c>
      <c r="G315" s="431" t="str">
        <f t="shared" ref="G315:G318" si="8">IF(F315&lt;=0.3,"vérifiée", " ")</f>
        <v>vérifiée</v>
      </c>
      <c r="H315" s="432" t="str">
        <f>IF(F315&lt;=0.3," ", "non vérifiée")</f>
        <v xml:space="preserve"> </v>
      </c>
      <c r="I315" s="310"/>
      <c r="J315" s="384"/>
      <c r="K315" s="369"/>
      <c r="L315" s="70"/>
    </row>
    <row r="316" spans="1:15">
      <c r="A316" s="391">
        <v>2</v>
      </c>
      <c r="B316" s="472">
        <v>30</v>
      </c>
      <c r="C316" s="502">
        <v>40</v>
      </c>
      <c r="D316" s="274">
        <f t="shared" si="7"/>
        <v>1200</v>
      </c>
      <c r="E316" s="358">
        <v>295.36</v>
      </c>
      <c r="F316" s="352">
        <f>(E316*1000)/(D316*100*B312)</f>
        <v>9.8453333333333337E-2</v>
      </c>
      <c r="G316" s="431" t="str">
        <f t="shared" si="8"/>
        <v>vérifiée</v>
      </c>
      <c r="H316" s="432" t="str">
        <f>IF(F316&lt;=0.3," ", "non vérifiée")</f>
        <v xml:space="preserve"> </v>
      </c>
      <c r="I316" s="310"/>
      <c r="J316" s="354"/>
      <c r="K316" s="353"/>
      <c r="L316" s="70"/>
    </row>
    <row r="317" spans="1:15">
      <c r="A317" s="391">
        <v>3</v>
      </c>
      <c r="B317" s="472">
        <v>30</v>
      </c>
      <c r="C317" s="502">
        <v>40</v>
      </c>
      <c r="D317" s="274">
        <f t="shared" si="7"/>
        <v>1200</v>
      </c>
      <c r="E317" s="358">
        <v>170.61</v>
      </c>
      <c r="F317" s="352">
        <f>(E317*1000)/(D317*100*B312)</f>
        <v>5.6869999999999997E-2</v>
      </c>
      <c r="G317" s="431" t="str">
        <f t="shared" si="8"/>
        <v>vérifiée</v>
      </c>
      <c r="H317" s="432" t="str">
        <f>IF(F317&lt;=0.3," ", "non vérifiée")</f>
        <v xml:space="preserve"> </v>
      </c>
      <c r="I317" s="310"/>
      <c r="J317" s="310"/>
      <c r="K317" s="310"/>
      <c r="L317" s="70"/>
    </row>
    <row r="318" spans="1:15">
      <c r="A318" s="391">
        <v>4</v>
      </c>
      <c r="B318" s="472">
        <v>30</v>
      </c>
      <c r="C318" s="502">
        <v>40</v>
      </c>
      <c r="D318" s="274">
        <f t="shared" si="7"/>
        <v>1200</v>
      </c>
      <c r="E318" s="358">
        <v>60.53</v>
      </c>
      <c r="F318" s="352">
        <f>(E318*1000)/(D318*100*B312)</f>
        <v>2.0176666666666666E-2</v>
      </c>
      <c r="G318" s="431" t="str">
        <f t="shared" si="8"/>
        <v>vérifiée</v>
      </c>
      <c r="H318" s="470"/>
      <c r="I318" s="310"/>
      <c r="J318" s="310"/>
      <c r="K318" s="310"/>
      <c r="L318" s="70"/>
    </row>
    <row r="319" spans="1:15">
      <c r="A319" s="433" t="s">
        <v>739</v>
      </c>
      <c r="B319" s="362"/>
      <c r="C319" s="362"/>
      <c r="D319" s="310"/>
      <c r="E319" s="310"/>
      <c r="F319" s="362"/>
      <c r="G319" s="310"/>
      <c r="H319" s="310"/>
      <c r="I319" s="310"/>
      <c r="J319" s="369"/>
      <c r="K319" s="369"/>
      <c r="L319" s="416"/>
      <c r="M319" s="48"/>
    </row>
    <row r="320" spans="1:15">
      <c r="A320" s="368" t="s">
        <v>138</v>
      </c>
      <c r="B320" s="362"/>
      <c r="C320" s="362"/>
      <c r="D320" s="310"/>
      <c r="E320" s="310"/>
      <c r="F320" s="362"/>
      <c r="G320" s="310"/>
      <c r="H320" s="310"/>
      <c r="I320" s="310"/>
      <c r="J320" s="369"/>
      <c r="K320" s="369"/>
      <c r="L320" s="417"/>
      <c r="M320" s="52"/>
      <c r="N320" s="49"/>
      <c r="O320" s="49"/>
    </row>
    <row r="321" spans="1:22">
      <c r="A321" s="310"/>
      <c r="B321" s="310"/>
      <c r="C321" s="362" t="s">
        <v>139</v>
      </c>
      <c r="D321" s="310"/>
      <c r="E321" s="310"/>
      <c r="F321" s="362"/>
      <c r="G321" s="310"/>
      <c r="H321" s="310"/>
      <c r="I321" s="310"/>
      <c r="J321" s="369"/>
      <c r="K321" s="369"/>
      <c r="L321" s="417"/>
      <c r="M321" s="52"/>
      <c r="N321" s="49"/>
      <c r="O321" s="49"/>
    </row>
    <row r="322" spans="1:22">
      <c r="A322" s="310"/>
      <c r="B322" s="362" t="s">
        <v>142</v>
      </c>
      <c r="C322" s="383">
        <v>3.5</v>
      </c>
      <c r="D322" s="310"/>
      <c r="E322" s="310"/>
      <c r="F322" s="362"/>
      <c r="G322" s="310"/>
      <c r="H322" s="310"/>
      <c r="I322" s="310"/>
      <c r="J322" s="369"/>
      <c r="K322" s="369"/>
      <c r="L322" s="417"/>
      <c r="M322" s="52"/>
      <c r="N322" s="49"/>
      <c r="O322" s="49"/>
    </row>
    <row r="323" spans="1:22">
      <c r="A323" s="368" t="s">
        <v>140</v>
      </c>
      <c r="B323" s="362"/>
      <c r="C323" s="362"/>
      <c r="D323" s="310"/>
      <c r="E323" s="310"/>
      <c r="F323" s="362"/>
      <c r="G323" s="310"/>
      <c r="H323" s="310"/>
      <c r="I323" s="310"/>
      <c r="J323" s="369"/>
      <c r="K323" s="369"/>
      <c r="L323" s="417"/>
      <c r="M323" s="52"/>
      <c r="N323" s="49"/>
      <c r="O323" s="49"/>
    </row>
    <row r="324" spans="1:22">
      <c r="A324" s="368" t="s">
        <v>738</v>
      </c>
      <c r="B324" s="362"/>
      <c r="C324" s="362"/>
      <c r="D324" s="310"/>
      <c r="E324" s="362" t="s">
        <v>141</v>
      </c>
      <c r="F324" s="362"/>
      <c r="G324" s="310"/>
      <c r="H324" s="310"/>
      <c r="I324" s="310"/>
      <c r="J324" s="353"/>
      <c r="K324" s="353"/>
      <c r="L324" s="417"/>
      <c r="M324" s="52"/>
      <c r="N324" s="49"/>
      <c r="O324" s="49"/>
    </row>
    <row r="325" spans="1:22" s="53" customFormat="1">
      <c r="A325" s="310"/>
      <c r="B325" s="582" t="s">
        <v>143</v>
      </c>
      <c r="C325" s="583"/>
      <c r="D325" s="583"/>
      <c r="E325" s="583"/>
      <c r="F325" s="583"/>
      <c r="G325" s="583"/>
      <c r="H325" s="583"/>
      <c r="I325" s="584"/>
      <c r="J325" s="310"/>
      <c r="K325" s="310"/>
      <c r="L325" s="418"/>
      <c r="M325" s="65"/>
      <c r="N325" s="58"/>
      <c r="O325" s="58"/>
    </row>
    <row r="326" spans="1:22">
      <c r="A326" s="523" t="s">
        <v>127</v>
      </c>
      <c r="B326" s="363"/>
      <c r="C326" s="364"/>
      <c r="D326" s="363"/>
      <c r="E326" s="363"/>
      <c r="F326" s="363"/>
      <c r="G326" s="310"/>
      <c r="H326" s="523" t="s">
        <v>120</v>
      </c>
      <c r="I326" s="525"/>
      <c r="J326" s="310"/>
      <c r="K326" s="310"/>
      <c r="L326" s="70"/>
    </row>
    <row r="327" spans="1:22">
      <c r="A327" s="524"/>
      <c r="B327" s="434" t="s">
        <v>144</v>
      </c>
      <c r="C327" s="435" t="s">
        <v>145</v>
      </c>
      <c r="D327" s="435" t="s">
        <v>144</v>
      </c>
      <c r="E327" s="435" t="s">
        <v>144</v>
      </c>
      <c r="F327" s="435" t="s">
        <v>144</v>
      </c>
      <c r="G327" s="436" t="s">
        <v>146</v>
      </c>
      <c r="H327" s="524"/>
      <c r="I327" s="526"/>
      <c r="J327" s="310"/>
      <c r="K327" s="310"/>
      <c r="L327" s="416"/>
      <c r="M327" s="48"/>
      <c r="N327" s="48"/>
      <c r="O327" s="48"/>
      <c r="R327" s="68"/>
      <c r="S327" s="63"/>
      <c r="T327" s="63"/>
      <c r="U327" s="60"/>
      <c r="V327" s="64"/>
    </row>
    <row r="328" spans="1:22">
      <c r="A328" s="391">
        <v>1</v>
      </c>
      <c r="B328" s="457">
        <f>L328*100</f>
        <v>0.27999999999999997</v>
      </c>
      <c r="C328" s="350">
        <f>B328*C322</f>
        <v>0.97999999999999987</v>
      </c>
      <c r="D328" s="350">
        <v>0</v>
      </c>
      <c r="E328" s="351">
        <f>C328-D328</f>
        <v>0.97999999999999987</v>
      </c>
      <c r="F328" s="360">
        <v>300</v>
      </c>
      <c r="G328" s="352">
        <f t="shared" ref="G328:G331" si="9">(E328/F328)*100</f>
        <v>0.32666666666666666</v>
      </c>
      <c r="H328" s="437" t="str">
        <f t="shared" ref="H328:H331" si="10">IF(G328&lt;1,"vérifiée", " ")</f>
        <v>vérifiée</v>
      </c>
      <c r="I328" s="438" t="str">
        <f t="shared" ref="I328:I329" si="11">IF(G328&lt;1," ", "non vérifiée")</f>
        <v xml:space="preserve"> </v>
      </c>
      <c r="J328" s="310"/>
      <c r="K328" s="310"/>
      <c r="L328" s="494">
        <v>2.8E-3</v>
      </c>
      <c r="M328" s="48"/>
      <c r="N328" s="48"/>
      <c r="O328" s="48"/>
      <c r="R328" s="68"/>
      <c r="S328" s="63"/>
      <c r="T328" s="63"/>
      <c r="U328" s="60"/>
      <c r="V328" s="64"/>
    </row>
    <row r="329" spans="1:22">
      <c r="A329" s="391">
        <v>2</v>
      </c>
      <c r="B329" s="457">
        <f t="shared" ref="B329:B331" si="12">L329*100</f>
        <v>0.69</v>
      </c>
      <c r="C329" s="457">
        <f>B329*C322</f>
        <v>2.415</v>
      </c>
      <c r="D329" s="274">
        <f>C329-C328</f>
        <v>1.4350000000000001</v>
      </c>
      <c r="E329" s="469">
        <f t="shared" ref="E329:E331" si="13">C329-D329</f>
        <v>0.98</v>
      </c>
      <c r="F329" s="360">
        <v>300</v>
      </c>
      <c r="G329" s="352">
        <f t="shared" si="9"/>
        <v>0.32666666666666666</v>
      </c>
      <c r="H329" s="437" t="str">
        <f t="shared" si="10"/>
        <v>vérifiée</v>
      </c>
      <c r="I329" s="438" t="str">
        <f t="shared" si="11"/>
        <v xml:space="preserve"> </v>
      </c>
      <c r="J329" s="310"/>
      <c r="K329" s="310"/>
      <c r="L329" s="494">
        <v>6.8999999999999999E-3</v>
      </c>
      <c r="M329" s="48"/>
      <c r="N329" s="48"/>
      <c r="O329" s="48"/>
      <c r="R329" s="68"/>
      <c r="S329" s="63"/>
      <c r="T329" s="63"/>
      <c r="U329" s="60"/>
      <c r="V329" s="64"/>
    </row>
    <row r="330" spans="1:22">
      <c r="A330" s="391">
        <v>3</v>
      </c>
      <c r="B330" s="457">
        <f t="shared" si="12"/>
        <v>0.98</v>
      </c>
      <c r="C330" s="457">
        <f>B330*C322</f>
        <v>3.4299999999999997</v>
      </c>
      <c r="D330" s="458">
        <f t="shared" ref="D330:D331" si="14">C330-C329</f>
        <v>1.0149999999999997</v>
      </c>
      <c r="E330" s="469">
        <f t="shared" si="13"/>
        <v>2.415</v>
      </c>
      <c r="F330" s="360">
        <v>300</v>
      </c>
      <c r="G330" s="352">
        <f t="shared" si="9"/>
        <v>0.80499999999999994</v>
      </c>
      <c r="H330" s="437" t="str">
        <f t="shared" si="10"/>
        <v>vérifiée</v>
      </c>
      <c r="I330" s="486" t="str">
        <f>IF(G330&lt;1," ", "N.V")</f>
        <v xml:space="preserve"> </v>
      </c>
      <c r="J330" s="310"/>
      <c r="K330" s="310"/>
      <c r="L330" s="494">
        <v>9.7999999999999997E-3</v>
      </c>
      <c r="M330" s="48"/>
      <c r="N330" s="48"/>
      <c r="O330" s="48"/>
      <c r="R330" s="68"/>
      <c r="S330" s="63"/>
      <c r="T330" s="63"/>
      <c r="U330" s="60"/>
      <c r="V330" s="64"/>
    </row>
    <row r="331" spans="1:22">
      <c r="A331" s="391">
        <v>4</v>
      </c>
      <c r="B331" s="457">
        <f t="shared" si="12"/>
        <v>1.35</v>
      </c>
      <c r="C331" s="457">
        <f>B331*C322</f>
        <v>4.7250000000000005</v>
      </c>
      <c r="D331" s="472">
        <f t="shared" si="14"/>
        <v>1.2950000000000008</v>
      </c>
      <c r="E331" s="469">
        <f t="shared" si="13"/>
        <v>3.4299999999999997</v>
      </c>
      <c r="F331" s="360">
        <v>300</v>
      </c>
      <c r="G331" s="352">
        <f t="shared" si="9"/>
        <v>1.1433333333333331</v>
      </c>
      <c r="H331" s="437" t="str">
        <f t="shared" si="10"/>
        <v xml:space="preserve"> </v>
      </c>
      <c r="I331" s="486" t="str">
        <f>IF(G331&lt;1," ", "N.V")</f>
        <v>N.V</v>
      </c>
      <c r="J331" s="310"/>
      <c r="K331" s="310"/>
      <c r="L331" s="494">
        <v>1.35E-2</v>
      </c>
      <c r="M331" s="48"/>
      <c r="N331" s="48"/>
      <c r="O331" s="48"/>
    </row>
    <row r="332" spans="1:22" s="76" customFormat="1">
      <c r="A332" s="310"/>
      <c r="B332" s="582" t="s">
        <v>147</v>
      </c>
      <c r="C332" s="583"/>
      <c r="D332" s="583"/>
      <c r="E332" s="583"/>
      <c r="F332" s="583"/>
      <c r="G332" s="583"/>
      <c r="H332" s="583"/>
      <c r="I332" s="584"/>
      <c r="J332" s="419"/>
      <c r="K332" s="420"/>
      <c r="L332" s="416"/>
      <c r="M332" s="48"/>
      <c r="N332" s="48"/>
      <c r="O332" s="48"/>
    </row>
    <row r="333" spans="1:22" s="76" customFormat="1">
      <c r="A333" s="523" t="s">
        <v>127</v>
      </c>
      <c r="B333" s="363"/>
      <c r="C333" s="364"/>
      <c r="D333" s="363"/>
      <c r="E333" s="363"/>
      <c r="F333" s="363"/>
      <c r="G333" s="310"/>
      <c r="H333" s="523" t="s">
        <v>120</v>
      </c>
      <c r="I333" s="525"/>
      <c r="J333" s="419"/>
      <c r="K333" s="420"/>
      <c r="L333" s="416"/>
      <c r="M333" s="48"/>
      <c r="N333" s="48"/>
      <c r="O333" s="48"/>
    </row>
    <row r="334" spans="1:22" s="76" customFormat="1">
      <c r="A334" s="524"/>
      <c r="B334" s="434" t="s">
        <v>144</v>
      </c>
      <c r="C334" s="435" t="s">
        <v>145</v>
      </c>
      <c r="D334" s="435" t="s">
        <v>144</v>
      </c>
      <c r="E334" s="435" t="s">
        <v>144</v>
      </c>
      <c r="F334" s="435" t="s">
        <v>144</v>
      </c>
      <c r="G334" s="436" t="s">
        <v>146</v>
      </c>
      <c r="H334" s="524"/>
      <c r="I334" s="526"/>
      <c r="J334" s="419"/>
      <c r="K334" s="420"/>
      <c r="L334" s="416"/>
      <c r="M334" s="48"/>
      <c r="N334" s="48"/>
      <c r="O334" s="48"/>
    </row>
    <row r="335" spans="1:22" s="76" customFormat="1">
      <c r="A335" s="391">
        <v>1</v>
      </c>
      <c r="B335" s="457">
        <f>L335*100</f>
        <v>0.18</v>
      </c>
      <c r="C335" s="356">
        <f>B335*C322</f>
        <v>0.63</v>
      </c>
      <c r="D335" s="350">
        <v>0</v>
      </c>
      <c r="E335" s="351">
        <f>C335-D335</f>
        <v>0.63</v>
      </c>
      <c r="F335" s="360">
        <f>F328</f>
        <v>300</v>
      </c>
      <c r="G335" s="352">
        <f>(E335/F335)*100</f>
        <v>0.21</v>
      </c>
      <c r="H335" s="437" t="str">
        <f t="shared" ref="H335:H338" si="15">IF(G335&lt;1,"vérifiée", " ")</f>
        <v>vérifiée</v>
      </c>
      <c r="I335" s="438" t="str">
        <f t="shared" ref="I335:I337" si="16">IF(G335&lt;1," ", "non vérifiée")</f>
        <v xml:space="preserve"> </v>
      </c>
      <c r="J335" s="369"/>
      <c r="K335" s="419"/>
      <c r="L335" s="494">
        <v>1.8E-3</v>
      </c>
      <c r="M335" s="48"/>
      <c r="N335" s="48"/>
      <c r="O335" s="48"/>
    </row>
    <row r="336" spans="1:22" s="76" customFormat="1">
      <c r="A336" s="391">
        <v>2</v>
      </c>
      <c r="B336" s="457">
        <f t="shared" ref="B336:B338" si="17">L336*100</f>
        <v>0.45999999999999996</v>
      </c>
      <c r="C336" s="356">
        <f>B336*C322</f>
        <v>1.6099999999999999</v>
      </c>
      <c r="D336" s="356">
        <f>C336-C335</f>
        <v>0.97999999999999987</v>
      </c>
      <c r="E336" s="469">
        <f t="shared" ref="E336:E338" si="18">C336-D336</f>
        <v>0.63</v>
      </c>
      <c r="F336" s="360">
        <f>F329</f>
        <v>300</v>
      </c>
      <c r="G336" s="352">
        <f t="shared" ref="G336:G338" si="19">(E336/F336)*100</f>
        <v>0.21</v>
      </c>
      <c r="H336" s="437" t="str">
        <f t="shared" si="15"/>
        <v>vérifiée</v>
      </c>
      <c r="I336" s="438" t="str">
        <f t="shared" si="16"/>
        <v xml:space="preserve"> </v>
      </c>
      <c r="J336" s="353"/>
      <c r="K336" s="361"/>
      <c r="L336" s="494">
        <v>4.5999999999999999E-3</v>
      </c>
      <c r="M336" s="48"/>
      <c r="N336" s="48"/>
      <c r="O336" s="48"/>
    </row>
    <row r="337" spans="1:15" s="76" customFormat="1">
      <c r="A337" s="391">
        <v>3</v>
      </c>
      <c r="B337" s="457">
        <f t="shared" si="17"/>
        <v>0.67</v>
      </c>
      <c r="C337" s="356">
        <f>B337*C322</f>
        <v>2.3450000000000002</v>
      </c>
      <c r="D337" s="356">
        <f t="shared" ref="D337:D338" si="20">C337-C336</f>
        <v>0.73500000000000032</v>
      </c>
      <c r="E337" s="469">
        <f t="shared" si="18"/>
        <v>1.6099999999999999</v>
      </c>
      <c r="F337" s="360">
        <f>F330</f>
        <v>300</v>
      </c>
      <c r="G337" s="352">
        <f t="shared" si="19"/>
        <v>0.53666666666666663</v>
      </c>
      <c r="H337" s="437" t="str">
        <f t="shared" si="15"/>
        <v>vérifiée</v>
      </c>
      <c r="I337" s="438" t="str">
        <f t="shared" si="16"/>
        <v xml:space="preserve"> </v>
      </c>
      <c r="J337" s="310"/>
      <c r="K337" s="310"/>
      <c r="L337" s="494">
        <v>6.7000000000000002E-3</v>
      </c>
      <c r="M337" s="48"/>
      <c r="N337" s="48"/>
      <c r="O337" s="48"/>
    </row>
    <row r="338" spans="1:15" s="76" customFormat="1">
      <c r="A338" s="391">
        <v>4</v>
      </c>
      <c r="B338" s="468">
        <f t="shared" si="17"/>
        <v>0.8</v>
      </c>
      <c r="C338" s="356">
        <f>B338*C322</f>
        <v>2.8000000000000003</v>
      </c>
      <c r="D338" s="356">
        <f t="shared" si="20"/>
        <v>0.45500000000000007</v>
      </c>
      <c r="E338" s="469">
        <f t="shared" si="18"/>
        <v>2.3450000000000002</v>
      </c>
      <c r="F338" s="360">
        <f>F331</f>
        <v>300</v>
      </c>
      <c r="G338" s="352">
        <f t="shared" si="19"/>
        <v>0.78166666666666684</v>
      </c>
      <c r="H338" s="437" t="str">
        <f t="shared" si="15"/>
        <v>vérifiée</v>
      </c>
      <c r="I338" s="486" t="str">
        <f>IF(G338&lt;1," ", "N.V")</f>
        <v xml:space="preserve"> </v>
      </c>
      <c r="J338" s="310"/>
      <c r="K338" s="310"/>
      <c r="L338" s="494">
        <v>8.0000000000000002E-3</v>
      </c>
      <c r="M338" s="48"/>
      <c r="N338" s="48"/>
      <c r="O338" s="48"/>
    </row>
    <row r="339" spans="1:15" s="76" customFormat="1">
      <c r="A339" s="433" t="s">
        <v>740</v>
      </c>
      <c r="B339" s="362"/>
      <c r="C339" s="362"/>
      <c r="D339" s="310"/>
      <c r="E339" s="310"/>
      <c r="F339" s="362"/>
      <c r="G339" s="310"/>
      <c r="H339" s="310"/>
      <c r="I339" s="310"/>
      <c r="J339" s="310"/>
      <c r="K339" s="310"/>
      <c r="L339" s="416"/>
      <c r="M339" s="48"/>
      <c r="N339" s="48"/>
      <c r="O339" s="48"/>
    </row>
    <row r="340" spans="1:15" s="76" customFormat="1">
      <c r="A340" s="368" t="s">
        <v>148</v>
      </c>
      <c r="B340" s="362"/>
      <c r="C340" s="362"/>
      <c r="D340" s="310"/>
      <c r="E340" s="310"/>
      <c r="F340" s="362"/>
      <c r="G340" s="310"/>
      <c r="H340" s="310"/>
      <c r="I340" s="310"/>
      <c r="J340" s="310"/>
      <c r="K340" s="310"/>
      <c r="L340" s="416"/>
      <c r="M340" s="48"/>
      <c r="N340" s="48"/>
      <c r="O340" s="48"/>
    </row>
    <row r="341" spans="1:15" s="76" customFormat="1">
      <c r="A341" s="310" t="s">
        <v>149</v>
      </c>
      <c r="B341" s="362"/>
      <c r="C341" s="362"/>
      <c r="D341" s="310"/>
      <c r="E341" s="310"/>
      <c r="F341" s="362"/>
      <c r="G341" s="310"/>
      <c r="H341" s="310"/>
      <c r="I341" s="310"/>
      <c r="J341" s="310"/>
      <c r="K341" s="310"/>
      <c r="L341" s="416"/>
      <c r="M341" s="48"/>
      <c r="N341" s="48"/>
      <c r="O341" s="48"/>
    </row>
    <row r="342" spans="1:15" s="76" customFormat="1">
      <c r="A342" s="310"/>
      <c r="B342" s="362"/>
      <c r="C342" s="362"/>
      <c r="D342" s="310"/>
      <c r="E342" s="310"/>
      <c r="F342" s="362" t="s">
        <v>150</v>
      </c>
      <c r="G342" s="310"/>
      <c r="H342" s="310"/>
      <c r="I342" s="310"/>
      <c r="J342" s="310"/>
      <c r="K342" s="310"/>
      <c r="L342" s="416"/>
      <c r="M342" s="48"/>
      <c r="N342" s="48"/>
      <c r="O342" s="48"/>
    </row>
    <row r="343" spans="1:15" s="76" customFormat="1">
      <c r="A343" s="310"/>
      <c r="B343" s="354"/>
      <c r="C343" s="354"/>
      <c r="D343" s="520" t="s">
        <v>143</v>
      </c>
      <c r="E343" s="521"/>
      <c r="F343" s="521"/>
      <c r="G343" s="521"/>
      <c r="H343" s="522"/>
      <c r="I343" s="421"/>
      <c r="J343" s="310"/>
      <c r="K343" s="310"/>
      <c r="L343" s="416"/>
      <c r="M343" s="48"/>
      <c r="N343" s="48"/>
      <c r="O343" s="48"/>
    </row>
    <row r="344" spans="1:15" s="76" customFormat="1">
      <c r="A344" s="523" t="s">
        <v>127</v>
      </c>
      <c r="B344" s="363"/>
      <c r="C344" s="363"/>
      <c r="D344" s="363"/>
      <c r="E344" s="310"/>
      <c r="F344" s="363"/>
      <c r="G344" s="523" t="s">
        <v>120</v>
      </c>
      <c r="H344" s="525"/>
      <c r="I344" s="440"/>
      <c r="J344" s="310"/>
      <c r="K344" s="310"/>
      <c r="L344" s="416"/>
      <c r="M344" s="48"/>
      <c r="N344" s="48"/>
      <c r="O344" s="48"/>
    </row>
    <row r="345" spans="1:15" s="76" customFormat="1">
      <c r="A345" s="524"/>
      <c r="B345" s="434" t="s">
        <v>144</v>
      </c>
      <c r="C345" s="442" t="s">
        <v>151</v>
      </c>
      <c r="D345" s="442" t="s">
        <v>144</v>
      </c>
      <c r="E345" s="443" t="s">
        <v>152</v>
      </c>
      <c r="F345" s="435"/>
      <c r="G345" s="524"/>
      <c r="H345" s="526"/>
      <c r="I345" s="353"/>
      <c r="J345" s="393"/>
      <c r="K345" s="393"/>
      <c r="L345" s="416"/>
      <c r="M345" s="48"/>
      <c r="N345" s="48"/>
      <c r="O345" s="48"/>
    </row>
    <row r="346" spans="1:15" s="76" customFormat="1">
      <c r="A346" s="391">
        <v>1</v>
      </c>
      <c r="B346" s="360">
        <f>F328</f>
        <v>300</v>
      </c>
      <c r="C346" s="488">
        <v>4000.69</v>
      </c>
      <c r="D346" s="358">
        <f>E328</f>
        <v>0.97999999999999987</v>
      </c>
      <c r="E346" s="487">
        <v>366.66</v>
      </c>
      <c r="F346" s="357">
        <f>(C346*D346)/(E346*B346)</f>
        <v>3.5643158966526652E-2</v>
      </c>
      <c r="G346" s="431" t="str">
        <f t="shared" ref="G346:G349" si="21">IF(F346&lt;=0.1,"vérifiée", " ")</f>
        <v>vérifiée</v>
      </c>
      <c r="H346" s="444" t="str">
        <f t="shared" ref="H346:H349" si="22">IF(F346&lt;=0.1," ", "non vérifiée")</f>
        <v xml:space="preserve"> </v>
      </c>
      <c r="I346" s="369"/>
      <c r="J346" s="353"/>
      <c r="K346" s="353"/>
      <c r="L346" s="416"/>
      <c r="M346" s="48"/>
      <c r="N346" s="48"/>
      <c r="O346" s="48"/>
    </row>
    <row r="347" spans="1:15" s="76" customFormat="1">
      <c r="A347" s="391">
        <v>2</v>
      </c>
      <c r="B347" s="360">
        <f>F329</f>
        <v>300</v>
      </c>
      <c r="C347" s="359">
        <v>2692.35</v>
      </c>
      <c r="D347" s="358">
        <f>E329</f>
        <v>0.98</v>
      </c>
      <c r="E347" s="487">
        <v>310.06</v>
      </c>
      <c r="F347" s="357">
        <f t="shared" ref="F347:F349" si="23">(C347*D347)/(E347*B347)</f>
        <v>2.836550990130942E-2</v>
      </c>
      <c r="G347" s="431" t="str">
        <f t="shared" si="21"/>
        <v>vérifiée</v>
      </c>
      <c r="H347" s="444" t="str">
        <f t="shared" si="22"/>
        <v xml:space="preserve"> </v>
      </c>
      <c r="I347" s="353"/>
      <c r="J347" s="353"/>
      <c r="K347" s="353"/>
      <c r="L347" s="416"/>
      <c r="M347" s="48"/>
      <c r="N347" s="48"/>
      <c r="O347" s="48"/>
    </row>
    <row r="348" spans="1:15" s="53" customFormat="1">
      <c r="A348" s="391">
        <v>3</v>
      </c>
      <c r="B348" s="360">
        <f>F330</f>
        <v>300</v>
      </c>
      <c r="C348" s="487">
        <v>1441.28</v>
      </c>
      <c r="D348" s="358">
        <f>E330</f>
        <v>2.415</v>
      </c>
      <c r="E348" s="487">
        <v>198.45</v>
      </c>
      <c r="F348" s="357">
        <f t="shared" si="23"/>
        <v>5.8464620811287484E-2</v>
      </c>
      <c r="G348" s="431" t="str">
        <f t="shared" si="21"/>
        <v>vérifiée</v>
      </c>
      <c r="H348" s="444" t="str">
        <f t="shared" si="22"/>
        <v xml:space="preserve"> </v>
      </c>
      <c r="I348" s="353"/>
      <c r="J348" s="353"/>
      <c r="K348" s="353"/>
      <c r="L348" s="422"/>
      <c r="M348" s="54"/>
      <c r="N348" s="54"/>
      <c r="O348" s="54"/>
    </row>
    <row r="349" spans="1:15" s="53" customFormat="1">
      <c r="A349" s="391">
        <v>4</v>
      </c>
      <c r="B349" s="360">
        <f>F331</f>
        <v>300</v>
      </c>
      <c r="C349" s="485">
        <v>285.48</v>
      </c>
      <c r="D349" s="358">
        <f>E331</f>
        <v>3.4299999999999997</v>
      </c>
      <c r="E349" s="487">
        <v>46.65</v>
      </c>
      <c r="F349" s="357">
        <f t="shared" si="23"/>
        <v>6.9967588424437288E-2</v>
      </c>
      <c r="G349" s="431" t="str">
        <f t="shared" si="21"/>
        <v>vérifiée</v>
      </c>
      <c r="H349" s="444" t="str">
        <f t="shared" si="22"/>
        <v xml:space="preserve"> </v>
      </c>
      <c r="I349" s="353"/>
      <c r="J349" s="353"/>
      <c r="K349" s="353"/>
      <c r="L349" s="422"/>
      <c r="M349" s="54"/>
      <c r="N349" s="54"/>
      <c r="O349" s="54"/>
    </row>
    <row r="350" spans="1:15">
      <c r="A350" s="310"/>
      <c r="B350" s="362"/>
      <c r="C350" s="362"/>
      <c r="D350" s="310"/>
      <c r="E350" s="310"/>
      <c r="F350" s="362"/>
      <c r="G350" s="310"/>
      <c r="H350" s="310"/>
      <c r="I350" s="310"/>
      <c r="J350" s="353"/>
      <c r="K350" s="353"/>
      <c r="L350" s="70"/>
    </row>
    <row r="351" spans="1:15">
      <c r="A351" s="310"/>
      <c r="B351" s="354"/>
      <c r="C351" s="354"/>
      <c r="D351" s="520" t="s">
        <v>147</v>
      </c>
      <c r="E351" s="521"/>
      <c r="F351" s="521"/>
      <c r="G351" s="521"/>
      <c r="H351" s="522"/>
      <c r="I351" s="310"/>
      <c r="J351" s="367"/>
      <c r="K351" s="367"/>
      <c r="L351" s="70"/>
    </row>
    <row r="352" spans="1:15">
      <c r="A352" s="523" t="s">
        <v>127</v>
      </c>
      <c r="B352" s="363"/>
      <c r="C352" s="363"/>
      <c r="D352" s="363"/>
      <c r="E352" s="310"/>
      <c r="F352" s="363"/>
      <c r="G352" s="523" t="s">
        <v>120</v>
      </c>
      <c r="H352" s="525"/>
      <c r="I352" s="310"/>
      <c r="J352" s="367"/>
      <c r="K352" s="367"/>
      <c r="L352" s="70"/>
    </row>
    <row r="353" spans="1:12">
      <c r="A353" s="524"/>
      <c r="B353" s="434" t="s">
        <v>144</v>
      </c>
      <c r="C353" s="442" t="s">
        <v>151</v>
      </c>
      <c r="D353" s="442" t="s">
        <v>144</v>
      </c>
      <c r="E353" s="443" t="s">
        <v>152</v>
      </c>
      <c r="F353" s="435"/>
      <c r="G353" s="524"/>
      <c r="H353" s="526"/>
      <c r="I353" s="310"/>
      <c r="J353" s="367"/>
      <c r="K353" s="367"/>
      <c r="L353" s="70"/>
    </row>
    <row r="354" spans="1:12">
      <c r="A354" s="391">
        <v>1</v>
      </c>
      <c r="B354" s="360">
        <f>B346</f>
        <v>300</v>
      </c>
      <c r="C354" s="471">
        <f>+C346</f>
        <v>4000.69</v>
      </c>
      <c r="D354" s="358">
        <f>E335</f>
        <v>0.63</v>
      </c>
      <c r="E354" s="487">
        <v>383.02</v>
      </c>
      <c r="F354" s="352">
        <f>(C354*D354)/(E354*B354)</f>
        <v>2.1934752754425357E-2</v>
      </c>
      <c r="G354" s="431" t="str">
        <f t="shared" ref="G354:G357" si="24">IF(F354&lt;=0.1,"vérifiée", " ")</f>
        <v>vérifiée</v>
      </c>
      <c r="H354" s="444" t="str">
        <f t="shared" ref="H354:H357" si="25">IF(F354&lt;=0.1," ", "non vérifiée")</f>
        <v xml:space="preserve"> </v>
      </c>
      <c r="I354" s="369"/>
      <c r="J354" s="393"/>
      <c r="K354" s="393"/>
      <c r="L354" s="70"/>
    </row>
    <row r="355" spans="1:12">
      <c r="A355" s="391">
        <v>2</v>
      </c>
      <c r="B355" s="360">
        <f>B347</f>
        <v>300</v>
      </c>
      <c r="C355" s="488">
        <f t="shared" ref="C355:C357" si="26">+C347</f>
        <v>2692.35</v>
      </c>
      <c r="D355" s="358">
        <f>E336</f>
        <v>0.63</v>
      </c>
      <c r="E355" s="487">
        <v>328.41</v>
      </c>
      <c r="F355" s="352">
        <f t="shared" ref="F355:F357" si="27">(C355*D355)/(E355*B355)</f>
        <v>1.7216086599068234E-2</v>
      </c>
      <c r="G355" s="431" t="str">
        <f t="shared" si="24"/>
        <v>vérifiée</v>
      </c>
      <c r="H355" s="444" t="str">
        <f t="shared" si="25"/>
        <v xml:space="preserve"> </v>
      </c>
      <c r="I355" s="369"/>
      <c r="J355" s="353"/>
      <c r="K355" s="353"/>
      <c r="L355" s="70"/>
    </row>
    <row r="356" spans="1:12">
      <c r="A356" s="391">
        <v>3</v>
      </c>
      <c r="B356" s="360">
        <f>B348</f>
        <v>300</v>
      </c>
      <c r="C356" s="488">
        <f t="shared" si="26"/>
        <v>1441.28</v>
      </c>
      <c r="D356" s="358">
        <f>E337</f>
        <v>1.6099999999999999</v>
      </c>
      <c r="E356" s="487">
        <v>206.93</v>
      </c>
      <c r="F356" s="352">
        <f t="shared" si="27"/>
        <v>3.7379158813769547E-2</v>
      </c>
      <c r="G356" s="431" t="str">
        <f t="shared" si="24"/>
        <v>vérifiée</v>
      </c>
      <c r="H356" s="444" t="str">
        <f t="shared" si="25"/>
        <v xml:space="preserve"> </v>
      </c>
      <c r="I356" s="369"/>
      <c r="J356" s="353"/>
      <c r="K356" s="353"/>
      <c r="L356" s="70"/>
    </row>
    <row r="357" spans="1:12">
      <c r="A357" s="391">
        <v>4</v>
      </c>
      <c r="B357" s="360">
        <f>B349</f>
        <v>300</v>
      </c>
      <c r="C357" s="488">
        <f t="shared" si="26"/>
        <v>285.48</v>
      </c>
      <c r="D357" s="358">
        <f>E338</f>
        <v>2.3450000000000002</v>
      </c>
      <c r="E357" s="487">
        <v>50.77</v>
      </c>
      <c r="F357" s="352">
        <f t="shared" si="27"/>
        <v>4.3953161315737642E-2</v>
      </c>
      <c r="G357" s="431" t="str">
        <f t="shared" si="24"/>
        <v>vérifiée</v>
      </c>
      <c r="H357" s="444" t="str">
        <f t="shared" si="25"/>
        <v xml:space="preserve"> </v>
      </c>
      <c r="I357" s="369"/>
      <c r="J357" s="353"/>
      <c r="K357" s="353"/>
      <c r="L357" s="70"/>
    </row>
    <row r="358" spans="1:12">
      <c r="A358" s="439"/>
      <c r="B358" s="361"/>
      <c r="C358" s="361"/>
      <c r="D358" s="353"/>
      <c r="E358" s="353"/>
      <c r="F358" s="355"/>
      <c r="G358" s="440"/>
      <c r="H358" s="441"/>
      <c r="I358" s="369"/>
      <c r="J358" s="353"/>
      <c r="K358" s="353"/>
      <c r="L358" s="70"/>
    </row>
    <row r="359" spans="1:12">
      <c r="A359" s="585" t="s">
        <v>468</v>
      </c>
      <c r="B359" s="585"/>
      <c r="C359" s="585"/>
      <c r="D359" s="585"/>
      <c r="E359" s="585"/>
      <c r="F359" s="423"/>
      <c r="G359" s="423"/>
      <c r="H359" s="423"/>
      <c r="I359" s="423"/>
      <c r="J359" s="353"/>
      <c r="K359" s="353"/>
      <c r="L359" s="70"/>
    </row>
    <row r="360" spans="1:12">
      <c r="A360" s="423"/>
      <c r="B360" s="423"/>
      <c r="C360" s="423"/>
      <c r="D360" s="423"/>
      <c r="E360" s="423"/>
      <c r="F360" s="423"/>
      <c r="G360" s="423"/>
      <c r="H360" s="423"/>
      <c r="I360" s="423"/>
      <c r="J360" s="353"/>
      <c r="K360" s="353"/>
      <c r="L360" s="70"/>
    </row>
    <row r="361" spans="1:12">
      <c r="A361" s="366"/>
      <c r="B361" s="366"/>
      <c r="C361" s="366"/>
      <c r="D361" s="586" t="s">
        <v>395</v>
      </c>
      <c r="E361" s="587"/>
      <c r="F361" s="366"/>
      <c r="G361" s="366"/>
      <c r="H361" s="366"/>
      <c r="I361" s="366"/>
      <c r="J361" s="367"/>
      <c r="K361" s="367"/>
      <c r="L361" s="70"/>
    </row>
    <row r="362" spans="1:12">
      <c r="A362" s="391" t="s">
        <v>396</v>
      </c>
      <c r="B362" s="391" t="s">
        <v>397</v>
      </c>
      <c r="C362" s="391" t="s">
        <v>398</v>
      </c>
      <c r="D362" s="391" t="s">
        <v>399</v>
      </c>
      <c r="E362" s="391" t="s">
        <v>400</v>
      </c>
      <c r="F362" s="391" t="s">
        <v>401</v>
      </c>
      <c r="G362" s="391" t="s">
        <v>402</v>
      </c>
      <c r="H362" s="391" t="s">
        <v>403</v>
      </c>
      <c r="I362" s="590" t="s">
        <v>404</v>
      </c>
      <c r="J362" s="591"/>
      <c r="K362" s="310"/>
      <c r="L362" s="70"/>
    </row>
    <row r="363" spans="1:12">
      <c r="A363" s="391">
        <v>1</v>
      </c>
      <c r="B363" s="391">
        <f>+E346</f>
        <v>366.66</v>
      </c>
      <c r="C363" s="391">
        <f>'verification renversement'!C9</f>
        <v>56.60000000000003</v>
      </c>
      <c r="D363" s="391">
        <f>'verification renversement'!D9</f>
        <v>4.5</v>
      </c>
      <c r="E363" s="507">
        <f>F285</f>
        <v>4000.71</v>
      </c>
      <c r="F363" s="530">
        <f>B231/2</f>
        <v>4.5250000000000004</v>
      </c>
      <c r="G363" s="391">
        <f t="shared" ref="G363:G366" si="28">C363*D363</f>
        <v>254.70000000000013</v>
      </c>
      <c r="H363" s="507">
        <f>E363*F363</f>
        <v>18103.212750000002</v>
      </c>
      <c r="I363" s="552" t="str">
        <f>IF(($H363/G363)&lt;1.5,"Condition non vérifiée","OK")</f>
        <v>OK</v>
      </c>
      <c r="J363" s="553"/>
      <c r="K363" s="310"/>
      <c r="L363" s="70"/>
    </row>
    <row r="364" spans="1:12">
      <c r="A364" s="391">
        <v>2</v>
      </c>
      <c r="B364" s="391">
        <f>+E347</f>
        <v>310.06</v>
      </c>
      <c r="C364" s="391">
        <f>'verification renversement'!C10</f>
        <v>111.61000000000001</v>
      </c>
      <c r="D364" s="391">
        <f>'verification renversement'!D10</f>
        <v>7.5</v>
      </c>
      <c r="E364" s="529"/>
      <c r="F364" s="529"/>
      <c r="G364" s="391">
        <f t="shared" si="28"/>
        <v>837.07500000000005</v>
      </c>
      <c r="H364" s="529"/>
      <c r="I364" s="552" t="str">
        <f>IF((H363/G364)&lt;1.5,"Condition non vérifiée","OK")</f>
        <v>OK</v>
      </c>
      <c r="J364" s="553"/>
      <c r="K364" s="310"/>
      <c r="L364" s="70"/>
    </row>
    <row r="365" spans="1:12">
      <c r="A365" s="391">
        <v>3</v>
      </c>
      <c r="B365" s="391">
        <f>+E348</f>
        <v>198.45</v>
      </c>
      <c r="C365" s="391">
        <f>'verification renversement'!C11</f>
        <v>151.79999999999998</v>
      </c>
      <c r="D365" s="391">
        <f>'verification renversement'!D11</f>
        <v>10.5</v>
      </c>
      <c r="E365" s="529"/>
      <c r="F365" s="529"/>
      <c r="G365" s="391">
        <f t="shared" si="28"/>
        <v>1593.8999999999999</v>
      </c>
      <c r="H365" s="529"/>
      <c r="I365" s="552" t="str">
        <f>IF(($H363/G365)&lt;1.5,"Condition non vérifiée","OK")</f>
        <v>OK</v>
      </c>
      <c r="J365" s="553"/>
      <c r="K365" s="310"/>
      <c r="L365" s="70"/>
    </row>
    <row r="366" spans="1:12">
      <c r="A366" s="391">
        <v>4</v>
      </c>
      <c r="B366" s="391">
        <f>+E349</f>
        <v>46.65</v>
      </c>
      <c r="C366" s="391">
        <f>'verification renversement'!C12</f>
        <v>46.65</v>
      </c>
      <c r="D366" s="391">
        <f>'verification renversement'!D12</f>
        <v>13.5</v>
      </c>
      <c r="E366" s="508"/>
      <c r="F366" s="508"/>
      <c r="G366" s="391">
        <f t="shared" si="28"/>
        <v>629.77499999999998</v>
      </c>
      <c r="H366" s="508"/>
      <c r="I366" s="552" t="str">
        <f>IF(($H363/G365)&lt;1.5,"Condition non vérifiée","OK")</f>
        <v>OK</v>
      </c>
      <c r="J366" s="553"/>
      <c r="K366" s="310"/>
      <c r="L366" s="70"/>
    </row>
    <row r="367" spans="1:12" s="53" customFormat="1">
      <c r="A367" s="366"/>
      <c r="B367" s="366"/>
      <c r="C367" s="366"/>
      <c r="D367" s="366"/>
      <c r="E367" s="366"/>
      <c r="F367" s="366"/>
      <c r="G367" s="366"/>
      <c r="H367" s="366"/>
      <c r="I367" s="366"/>
      <c r="J367" s="367"/>
      <c r="K367" s="367"/>
      <c r="L367" s="379"/>
    </row>
    <row r="368" spans="1:12" s="53" customFormat="1">
      <c r="A368" s="366"/>
      <c r="B368" s="366"/>
      <c r="C368" s="366"/>
      <c r="D368" s="586" t="s">
        <v>405</v>
      </c>
      <c r="E368" s="587"/>
      <c r="F368" s="366"/>
      <c r="G368" s="366"/>
      <c r="H368" s="366"/>
      <c r="I368" s="366"/>
      <c r="J368" s="310"/>
      <c r="K368" s="310"/>
      <c r="L368" s="379"/>
    </row>
    <row r="369" spans="1:17" s="53" customFormat="1">
      <c r="A369" s="391" t="s">
        <v>396</v>
      </c>
      <c r="B369" s="391" t="s">
        <v>406</v>
      </c>
      <c r="C369" s="391" t="s">
        <v>407</v>
      </c>
      <c r="D369" s="391" t="s">
        <v>399</v>
      </c>
      <c r="E369" s="391" t="s">
        <v>400</v>
      </c>
      <c r="F369" s="391" t="s">
        <v>408</v>
      </c>
      <c r="G369" s="391" t="s">
        <v>402</v>
      </c>
      <c r="H369" s="391" t="s">
        <v>403</v>
      </c>
      <c r="I369" s="590" t="s">
        <v>404</v>
      </c>
      <c r="J369" s="591"/>
      <c r="K369" s="310"/>
      <c r="L369" s="379"/>
    </row>
    <row r="370" spans="1:17" s="53" customFormat="1">
      <c r="A370" s="391">
        <v>1</v>
      </c>
      <c r="B370" s="391">
        <f>+E354</f>
        <v>383.02</v>
      </c>
      <c r="C370" s="391">
        <f>+'verification renversement'!C26</f>
        <v>54.609999999999964</v>
      </c>
      <c r="D370" s="391">
        <f>D363</f>
        <v>4.5</v>
      </c>
      <c r="E370" s="507">
        <f>E363</f>
        <v>4000.71</v>
      </c>
      <c r="F370" s="530">
        <f>B232/2</f>
        <v>8.3149999999999995</v>
      </c>
      <c r="G370" s="391">
        <f>C370*D370</f>
        <v>245.74499999999983</v>
      </c>
      <c r="H370" s="507">
        <f>E370*F370</f>
        <v>33265.90365</v>
      </c>
      <c r="I370" s="552" t="str">
        <f>IF(($H370/G370)&lt;1.5,"Condition non vérifiée","OK")</f>
        <v>OK</v>
      </c>
      <c r="J370" s="553"/>
      <c r="K370" s="310"/>
      <c r="L370" s="379"/>
    </row>
    <row r="371" spans="1:17" s="53" customFormat="1">
      <c r="A371" s="391">
        <v>2</v>
      </c>
      <c r="B371" s="391">
        <f>+E355</f>
        <v>328.41</v>
      </c>
      <c r="C371" s="391">
        <f>+'verification renversement'!C27</f>
        <v>121.48000000000002</v>
      </c>
      <c r="D371" s="391">
        <f>D364</f>
        <v>7.5</v>
      </c>
      <c r="E371" s="529"/>
      <c r="F371" s="529"/>
      <c r="G371" s="391">
        <f t="shared" ref="G371:G373" si="29">C371*D371</f>
        <v>911.10000000000014</v>
      </c>
      <c r="H371" s="529"/>
      <c r="I371" s="552" t="str">
        <f>IF(($H370/G371)&lt;1.5,"Condition non vérifiée","OK")</f>
        <v>OK</v>
      </c>
      <c r="J371" s="553"/>
      <c r="K371" s="310"/>
      <c r="L371" s="379"/>
    </row>
    <row r="372" spans="1:17" s="53" customFormat="1">
      <c r="A372" s="391">
        <v>3</v>
      </c>
      <c r="B372" s="391">
        <f>+E356</f>
        <v>206.93</v>
      </c>
      <c r="C372" s="391">
        <f>+'verification renversement'!C28</f>
        <v>156.16</v>
      </c>
      <c r="D372" s="391">
        <f>D365</f>
        <v>10.5</v>
      </c>
      <c r="E372" s="529"/>
      <c r="F372" s="529"/>
      <c r="G372" s="391">
        <f t="shared" si="29"/>
        <v>1639.68</v>
      </c>
      <c r="H372" s="529"/>
      <c r="I372" s="552" t="str">
        <f>IF(($H370/G372)&lt;1.5,"Condition non vérifiée","OK")</f>
        <v>OK</v>
      </c>
      <c r="J372" s="553"/>
      <c r="K372" s="310"/>
      <c r="L372" s="379"/>
    </row>
    <row r="373" spans="1:17">
      <c r="A373" s="391">
        <v>4</v>
      </c>
      <c r="B373" s="391">
        <f>+E357</f>
        <v>50.77</v>
      </c>
      <c r="C373" s="391">
        <f>+'verification renversement'!C29</f>
        <v>50.77</v>
      </c>
      <c r="D373" s="391">
        <f>D366</f>
        <v>13.5</v>
      </c>
      <c r="E373" s="508"/>
      <c r="F373" s="508"/>
      <c r="G373" s="391">
        <f t="shared" si="29"/>
        <v>685.3950000000001</v>
      </c>
      <c r="H373" s="508"/>
      <c r="I373" s="552" t="str">
        <f>IF(($H370/G373)&lt;1.5,"Condition non vérifiée","OK")</f>
        <v>OK</v>
      </c>
      <c r="J373" s="553"/>
      <c r="K373" s="310"/>
      <c r="L373" s="70"/>
    </row>
    <row r="374" spans="1:17" s="76" customFormat="1">
      <c r="A374" s="393"/>
      <c r="B374" s="393"/>
      <c r="C374" s="393"/>
      <c r="D374" s="393"/>
      <c r="E374" s="393"/>
      <c r="F374" s="393"/>
      <c r="G374" s="393"/>
      <c r="H374" s="393"/>
      <c r="I374" s="353"/>
      <c r="J374" s="353"/>
      <c r="K374" s="310"/>
      <c r="L374" s="70"/>
    </row>
    <row r="375" spans="1:17">
      <c r="A375" s="433" t="s">
        <v>741</v>
      </c>
      <c r="B375" s="362"/>
      <c r="C375" s="362"/>
      <c r="D375" s="310"/>
      <c r="E375" s="310"/>
      <c r="F375" s="362"/>
      <c r="G375" s="310"/>
      <c r="H375" s="310"/>
      <c r="I375" s="310"/>
      <c r="J375" s="310"/>
      <c r="K375" s="310"/>
      <c r="L375" s="70"/>
    </row>
    <row r="376" spans="1:17">
      <c r="A376" s="368" t="s">
        <v>153</v>
      </c>
      <c r="B376" s="362"/>
      <c r="C376" s="362"/>
      <c r="D376" s="310"/>
      <c r="E376" s="310"/>
      <c r="F376" s="362"/>
      <c r="G376" s="310"/>
      <c r="H376" s="310"/>
      <c r="I376" s="310"/>
      <c r="J376" s="367"/>
      <c r="K376" s="367"/>
      <c r="L376" s="70"/>
    </row>
    <row r="377" spans="1:17">
      <c r="A377" s="310"/>
      <c r="B377" s="362"/>
      <c r="C377" s="310"/>
      <c r="D377" s="310"/>
      <c r="E377" s="310" t="s">
        <v>154</v>
      </c>
      <c r="F377" s="310"/>
      <c r="G377" s="310"/>
      <c r="H377" s="369">
        <v>14.16</v>
      </c>
      <c r="I377" s="310" t="s">
        <v>16</v>
      </c>
      <c r="J377" s="310"/>
      <c r="K377" s="367"/>
      <c r="L377" s="70"/>
    </row>
    <row r="378" spans="1:17">
      <c r="A378" s="310"/>
      <c r="B378" s="362"/>
      <c r="C378" s="362"/>
      <c r="D378" s="310"/>
      <c r="E378" s="310"/>
      <c r="F378" s="362"/>
      <c r="G378" s="310"/>
      <c r="H378" s="310"/>
      <c r="I378" s="310"/>
      <c r="J378" s="310"/>
      <c r="K378" s="367"/>
      <c r="L378" s="70"/>
    </row>
    <row r="379" spans="1:17">
      <c r="A379" s="527" t="s">
        <v>127</v>
      </c>
      <c r="B379" s="588" t="s">
        <v>132</v>
      </c>
      <c r="C379" s="589"/>
      <c r="D379" s="595"/>
      <c r="E379" s="527" t="s">
        <v>155</v>
      </c>
      <c r="F379" s="363"/>
      <c r="G379" s="523" t="s">
        <v>120</v>
      </c>
      <c r="H379" s="525"/>
      <c r="I379" s="310"/>
      <c r="J379" s="310"/>
      <c r="K379" s="367"/>
      <c r="L379" s="70"/>
    </row>
    <row r="380" spans="1:17">
      <c r="A380" s="528"/>
      <c r="B380" s="430" t="s">
        <v>134</v>
      </c>
      <c r="C380" s="430" t="s">
        <v>135</v>
      </c>
      <c r="D380" s="430" t="s">
        <v>136</v>
      </c>
      <c r="E380" s="528"/>
      <c r="F380" s="435" t="s">
        <v>156</v>
      </c>
      <c r="G380" s="524"/>
      <c r="H380" s="526"/>
      <c r="I380" s="310"/>
      <c r="J380" s="310"/>
      <c r="K380" s="367"/>
      <c r="L380" s="70"/>
    </row>
    <row r="381" spans="1:17">
      <c r="A381" s="391">
        <v>1</v>
      </c>
      <c r="B381" s="274">
        <f>B315</f>
        <v>30</v>
      </c>
      <c r="C381" s="274">
        <v>40</v>
      </c>
      <c r="D381" s="274">
        <f t="shared" ref="D381:D384" si="30">B381*C381</f>
        <v>1200</v>
      </c>
      <c r="E381" s="358">
        <v>525.89</v>
      </c>
      <c r="F381" s="357">
        <f t="shared" ref="F381:F384" si="31">(E381*1000)/(D381*100)</f>
        <v>4.3824166666666668</v>
      </c>
      <c r="G381" s="431" t="str">
        <f t="shared" ref="G381:G384" si="32">IF(F381&lt;=14.16,"vérifiée", " ")</f>
        <v>vérifiée</v>
      </c>
      <c r="H381" s="444" t="str">
        <f>IF(F381&lt;=14.16," ", "non vérifiée")</f>
        <v xml:space="preserve"> </v>
      </c>
      <c r="I381" s="310"/>
      <c r="J381" s="310"/>
      <c r="K381" s="367"/>
      <c r="L381" s="70"/>
    </row>
    <row r="382" spans="1:17">
      <c r="A382" s="391">
        <v>2</v>
      </c>
      <c r="B382" s="472">
        <f>B316</f>
        <v>30</v>
      </c>
      <c r="C382" s="502">
        <v>40</v>
      </c>
      <c r="D382" s="274">
        <f t="shared" si="30"/>
        <v>1200</v>
      </c>
      <c r="E382" s="358">
        <v>359.16</v>
      </c>
      <c r="F382" s="357">
        <f t="shared" si="31"/>
        <v>2.9929999999999999</v>
      </c>
      <c r="G382" s="431" t="str">
        <f t="shared" si="32"/>
        <v>vérifiée</v>
      </c>
      <c r="H382" s="444" t="str">
        <f>IF(F382&lt;=14.16," ", "non vérifiée")</f>
        <v xml:space="preserve"> </v>
      </c>
      <c r="I382" s="310"/>
      <c r="J382" s="310"/>
      <c r="K382" s="367"/>
      <c r="L382" s="70"/>
    </row>
    <row r="383" spans="1:17">
      <c r="A383" s="391">
        <v>3</v>
      </c>
      <c r="B383" s="472">
        <f>B317</f>
        <v>30</v>
      </c>
      <c r="C383" s="502">
        <v>40</v>
      </c>
      <c r="D383" s="274">
        <f t="shared" si="30"/>
        <v>1200</v>
      </c>
      <c r="E383" s="358">
        <v>211.07</v>
      </c>
      <c r="F383" s="357">
        <f t="shared" si="31"/>
        <v>1.7589166666666667</v>
      </c>
      <c r="G383" s="431" t="str">
        <f t="shared" si="32"/>
        <v>vérifiée</v>
      </c>
      <c r="H383" s="444" t="str">
        <f>IF(F383&lt;=14.16," ", "non vérifiée")</f>
        <v xml:space="preserve"> </v>
      </c>
      <c r="I383" s="310"/>
      <c r="J383" s="310"/>
      <c r="K383" s="310"/>
      <c r="L383" s="70"/>
    </row>
    <row r="384" spans="1:17">
      <c r="A384" s="391">
        <v>4</v>
      </c>
      <c r="B384" s="472">
        <f>B318</f>
        <v>30</v>
      </c>
      <c r="C384" s="502">
        <v>40</v>
      </c>
      <c r="D384" s="274">
        <f t="shared" si="30"/>
        <v>1200</v>
      </c>
      <c r="E384" s="358">
        <v>69.95</v>
      </c>
      <c r="F384" s="357">
        <f t="shared" si="31"/>
        <v>0.58291666666666664</v>
      </c>
      <c r="G384" s="431" t="str">
        <f t="shared" si="32"/>
        <v>vérifiée</v>
      </c>
      <c r="H384" s="444"/>
      <c r="I384" s="367"/>
      <c r="J384" s="367"/>
      <c r="K384" s="310"/>
      <c r="L384" s="379"/>
      <c r="M384" s="53"/>
      <c r="N384" s="630"/>
      <c r="O384" s="630"/>
      <c r="P384" s="630"/>
      <c r="Q384" s="630"/>
    </row>
    <row r="385" spans="1:17">
      <c r="A385" s="310"/>
      <c r="B385" s="362"/>
      <c r="C385" s="362"/>
      <c r="D385" s="310"/>
      <c r="E385" s="310"/>
      <c r="F385" s="362"/>
      <c r="G385" s="310"/>
      <c r="H385" s="310"/>
      <c r="I385" s="310"/>
      <c r="J385" s="310"/>
      <c r="K385" s="310"/>
      <c r="L385" s="63"/>
      <c r="M385" s="68"/>
      <c r="N385" s="159"/>
      <c r="O385" s="69"/>
      <c r="P385" s="69"/>
      <c r="Q385" s="68"/>
    </row>
    <row r="386" spans="1:17">
      <c r="A386" s="433" t="s">
        <v>742</v>
      </c>
      <c r="B386" s="362"/>
      <c r="C386" s="362"/>
      <c r="D386" s="310"/>
      <c r="E386" s="310"/>
      <c r="F386" s="362"/>
      <c r="G386" s="310"/>
      <c r="H386" s="310"/>
      <c r="I386" s="310"/>
      <c r="J386" s="310"/>
      <c r="K386" s="310"/>
      <c r="L386" s="63"/>
      <c r="M386" s="68"/>
      <c r="N386" s="159"/>
      <c r="O386" s="69"/>
      <c r="P386" s="69"/>
      <c r="Q386" s="68"/>
    </row>
    <row r="387" spans="1:17">
      <c r="A387" s="368" t="s">
        <v>153</v>
      </c>
      <c r="B387" s="362"/>
      <c r="C387" s="362"/>
      <c r="D387" s="310"/>
      <c r="E387" s="310"/>
      <c r="F387" s="362"/>
      <c r="G387" s="310" t="s">
        <v>159</v>
      </c>
      <c r="H387" s="310"/>
      <c r="I387" s="310"/>
      <c r="J387" s="310"/>
      <c r="K387" s="310"/>
      <c r="L387" s="63"/>
      <c r="M387" s="68"/>
      <c r="N387" s="159"/>
      <c r="O387" s="69"/>
      <c r="P387" s="69"/>
      <c r="Q387" s="68"/>
    </row>
    <row r="388" spans="1:17" s="53" customFormat="1">
      <c r="A388" s="310"/>
      <c r="B388" s="362"/>
      <c r="C388" s="362"/>
      <c r="D388" s="310"/>
      <c r="E388" s="310"/>
      <c r="F388" s="362"/>
      <c r="G388" s="310" t="s">
        <v>160</v>
      </c>
      <c r="H388" s="310"/>
      <c r="I388" s="310"/>
      <c r="J388" s="310"/>
      <c r="K388" s="310"/>
      <c r="L388" s="63"/>
      <c r="M388" s="68"/>
      <c r="N388" s="159"/>
      <c r="O388" s="69"/>
      <c r="P388" s="69"/>
      <c r="Q388" s="68"/>
    </row>
    <row r="389" spans="1:17" s="53" customFormat="1">
      <c r="A389" s="310"/>
      <c r="B389" s="362"/>
      <c r="C389" s="362"/>
      <c r="D389" s="310"/>
      <c r="E389" s="310"/>
      <c r="F389" s="362"/>
      <c r="G389" s="310"/>
      <c r="H389" s="310"/>
      <c r="I389" s="310"/>
      <c r="J389" s="310"/>
      <c r="K389" s="310"/>
      <c r="L389" s="63"/>
      <c r="M389" s="68"/>
      <c r="N389" s="159"/>
      <c r="O389" s="69"/>
      <c r="P389" s="69"/>
      <c r="Q389" s="68"/>
    </row>
    <row r="390" spans="1:17" s="53" customFormat="1">
      <c r="A390" s="527" t="s">
        <v>127</v>
      </c>
      <c r="B390" s="588" t="s">
        <v>157</v>
      </c>
      <c r="C390" s="589"/>
      <c r="D390" s="363"/>
      <c r="E390" s="363"/>
      <c r="F390" s="363"/>
      <c r="G390" s="363"/>
      <c r="H390" s="363"/>
      <c r="I390" s="363"/>
      <c r="J390" s="310"/>
      <c r="K390" s="310"/>
      <c r="L390" s="63"/>
      <c r="M390" s="68"/>
      <c r="N390" s="159"/>
      <c r="O390" s="69"/>
      <c r="P390" s="69"/>
      <c r="Q390" s="68"/>
    </row>
    <row r="391" spans="1:17" s="53" customFormat="1">
      <c r="A391" s="528"/>
      <c r="B391" s="430" t="s">
        <v>134</v>
      </c>
      <c r="C391" s="431" t="s">
        <v>135</v>
      </c>
      <c r="D391" s="435" t="s">
        <v>144</v>
      </c>
      <c r="E391" s="435" t="s">
        <v>144</v>
      </c>
      <c r="F391" s="435" t="s">
        <v>144</v>
      </c>
      <c r="G391" s="370"/>
      <c r="H391" s="370"/>
      <c r="I391" s="435" t="s">
        <v>158</v>
      </c>
      <c r="J391" s="310"/>
      <c r="K391" s="310"/>
      <c r="L391" s="63"/>
      <c r="M391" s="68"/>
      <c r="N391" s="159"/>
      <c r="O391" s="69"/>
      <c r="P391" s="69"/>
      <c r="Q391" s="68"/>
    </row>
    <row r="392" spans="1:17" s="53" customFormat="1">
      <c r="A392" s="391">
        <v>1</v>
      </c>
      <c r="B392" s="472">
        <v>30</v>
      </c>
      <c r="C392" s="472">
        <v>40</v>
      </c>
      <c r="D392" s="359">
        <v>306</v>
      </c>
      <c r="E392" s="274">
        <f>0.7*D392</f>
        <v>214.2</v>
      </c>
      <c r="F392" s="358">
        <f>SQRT(((MAX(B392,C392)*MIN(B392,C392)^3)/12)/(B392*C392))</f>
        <v>8.6602540378443873</v>
      </c>
      <c r="G392" s="352">
        <f t="shared" ref="G392:G395" si="33">E392/F392</f>
        <v>24.733685532083562</v>
      </c>
      <c r="H392" s="352">
        <f t="shared" ref="H392:H395" si="34">IF(G392&lt;=50,  0.85/(1+(0.2*(G392/35)^(2))), 0.6*(50/G392)^(2))</f>
        <v>0.77281270365887722</v>
      </c>
      <c r="I392" s="358">
        <f>0.008*(B392-2)*(C392-2)</f>
        <v>8.5120000000000005</v>
      </c>
      <c r="J392" s="310"/>
      <c r="K392" s="310"/>
      <c r="L392" s="63"/>
      <c r="M392" s="69"/>
      <c r="N392" s="159"/>
      <c r="O392" s="69"/>
      <c r="P392" s="69"/>
      <c r="Q392" s="68"/>
    </row>
    <row r="393" spans="1:17" s="53" customFormat="1">
      <c r="A393" s="391">
        <v>2</v>
      </c>
      <c r="B393" s="472">
        <v>30</v>
      </c>
      <c r="C393" s="502">
        <v>40</v>
      </c>
      <c r="D393" s="359">
        <v>306</v>
      </c>
      <c r="E393" s="472">
        <f t="shared" ref="E393:E395" si="35">0.7*D393</f>
        <v>214.2</v>
      </c>
      <c r="F393" s="358">
        <f>SQRT(((MAX(B393,C393)*MIN(B393,C393)^3)/12)/(B393*C393))</f>
        <v>8.6602540378443873</v>
      </c>
      <c r="G393" s="352">
        <f t="shared" si="33"/>
        <v>24.733685532083562</v>
      </c>
      <c r="H393" s="352">
        <f t="shared" si="34"/>
        <v>0.77281270365887722</v>
      </c>
      <c r="I393" s="358">
        <f>0.008*(B393-2)*(C393-2)</f>
        <v>8.5120000000000005</v>
      </c>
      <c r="J393" s="310"/>
      <c r="K393" s="310"/>
      <c r="L393" s="63"/>
      <c r="M393" s="69"/>
      <c r="N393" s="159"/>
      <c r="O393" s="69"/>
      <c r="P393" s="69"/>
      <c r="Q393" s="68"/>
    </row>
    <row r="394" spans="1:17" s="53" customFormat="1">
      <c r="A394" s="391">
        <v>3</v>
      </c>
      <c r="B394" s="472">
        <v>30</v>
      </c>
      <c r="C394" s="502">
        <v>40</v>
      </c>
      <c r="D394" s="359">
        <v>306</v>
      </c>
      <c r="E394" s="472">
        <f t="shared" si="35"/>
        <v>214.2</v>
      </c>
      <c r="F394" s="358">
        <f>SQRT(((PI()*C394^(4))/64)/(PI()*(C394^(2)/4)))</f>
        <v>10</v>
      </c>
      <c r="G394" s="352">
        <f t="shared" si="33"/>
        <v>21.419999999999998</v>
      </c>
      <c r="H394" s="352">
        <f t="shared" si="34"/>
        <v>0.7907647606941165</v>
      </c>
      <c r="I394" s="358">
        <f t="shared" ref="I394:I395" si="36">0.008*(B394-2)*(C394-2)</f>
        <v>8.5120000000000005</v>
      </c>
      <c r="J394" s="310"/>
      <c r="K394" s="310"/>
      <c r="L394" s="379"/>
    </row>
    <row r="395" spans="1:17">
      <c r="A395" s="391">
        <v>4</v>
      </c>
      <c r="B395" s="472">
        <v>30</v>
      </c>
      <c r="C395" s="502">
        <v>40</v>
      </c>
      <c r="D395" s="359">
        <v>306</v>
      </c>
      <c r="E395" s="472">
        <f t="shared" si="35"/>
        <v>214.2</v>
      </c>
      <c r="F395" s="358">
        <f>SQRT(((PI()*C395^(4))/64)/(PI()*(C395^(2)/4)))</f>
        <v>10</v>
      </c>
      <c r="G395" s="352">
        <f t="shared" si="33"/>
        <v>21.419999999999998</v>
      </c>
      <c r="H395" s="352">
        <f t="shared" si="34"/>
        <v>0.7907647606941165</v>
      </c>
      <c r="I395" s="358">
        <f t="shared" si="36"/>
        <v>8.5120000000000005</v>
      </c>
      <c r="J395" s="310"/>
      <c r="K395" s="310"/>
      <c r="L395" s="70"/>
    </row>
    <row r="396" spans="1:17">
      <c r="A396" s="439"/>
      <c r="B396" s="353"/>
      <c r="C396" s="353"/>
      <c r="D396" s="361"/>
      <c r="E396" s="353"/>
      <c r="F396" s="354"/>
      <c r="G396" s="355"/>
      <c r="H396" s="355"/>
      <c r="I396" s="353"/>
      <c r="J396" s="310"/>
      <c r="K396" s="310"/>
      <c r="L396" s="70"/>
    </row>
    <row r="397" spans="1:17">
      <c r="A397" s="527" t="s">
        <v>127</v>
      </c>
      <c r="B397" s="588" t="s">
        <v>157</v>
      </c>
      <c r="C397" s="589"/>
      <c r="D397" s="363"/>
      <c r="E397" s="363"/>
      <c r="F397" s="363"/>
      <c r="G397" s="363"/>
      <c r="H397" s="523" t="s">
        <v>120</v>
      </c>
      <c r="I397" s="525"/>
      <c r="J397" s="424"/>
      <c r="K397" s="440"/>
      <c r="L397" s="70"/>
    </row>
    <row r="398" spans="1:17">
      <c r="A398" s="528"/>
      <c r="B398" s="430" t="s">
        <v>134</v>
      </c>
      <c r="C398" s="431" t="s">
        <v>135</v>
      </c>
      <c r="D398" s="435" t="s">
        <v>158</v>
      </c>
      <c r="E398" s="350" t="s">
        <v>152</v>
      </c>
      <c r="F398" s="350" t="s">
        <v>152</v>
      </c>
      <c r="G398" s="350" t="s">
        <v>152</v>
      </c>
      <c r="H398" s="524"/>
      <c r="I398" s="526"/>
      <c r="J398" s="424"/>
      <c r="K398" s="353"/>
      <c r="L398" s="70"/>
    </row>
    <row r="399" spans="1:17">
      <c r="A399" s="391">
        <v>1</v>
      </c>
      <c r="B399" s="487">
        <v>30</v>
      </c>
      <c r="C399" s="487">
        <v>40</v>
      </c>
      <c r="D399" s="274">
        <f>(B399-2)*(C399-2)</f>
        <v>1064</v>
      </c>
      <c r="E399" s="358">
        <f>(H392*(((25*D399*100)/(0.9*1.5))+((0.008*D399*400)/1.15)))/1000</f>
        <v>1525.0153163469365</v>
      </c>
      <c r="F399" s="466">
        <f>E381</f>
        <v>525.89</v>
      </c>
      <c r="G399" s="274">
        <f t="shared" ref="G399:G402" si="37">1.1*F399</f>
        <v>578.47900000000004</v>
      </c>
      <c r="H399" s="445" t="str">
        <f t="shared" ref="H399:H402" si="38">IF(G399&lt;E399,"vérifiée", " ")</f>
        <v>vérifiée</v>
      </c>
      <c r="I399" s="444" t="str">
        <f>IF(G399&lt;E399," ", "non vérifiée")</f>
        <v xml:space="preserve"> </v>
      </c>
      <c r="J399" s="424"/>
      <c r="K399" s="353"/>
      <c r="L399" s="425"/>
    </row>
    <row r="400" spans="1:17">
      <c r="A400" s="391">
        <v>2</v>
      </c>
      <c r="B400" s="487">
        <v>30</v>
      </c>
      <c r="C400" s="502">
        <v>40</v>
      </c>
      <c r="D400" s="274">
        <f>(B400-2)*(C400-2)</f>
        <v>1064</v>
      </c>
      <c r="E400" s="358">
        <f>(H393*(((25*D400*100)/(0.9*1.5))+((0.008*D400*400)/1.15)))/1000</f>
        <v>1525.0153163469365</v>
      </c>
      <c r="F400" s="483">
        <f>E382</f>
        <v>359.16</v>
      </c>
      <c r="G400" s="274">
        <f t="shared" si="37"/>
        <v>395.07600000000008</v>
      </c>
      <c r="H400" s="445" t="str">
        <f t="shared" si="38"/>
        <v>vérifiée</v>
      </c>
      <c r="I400" s="444" t="str">
        <f>IF(G400&lt;E400," ", "non vérifiée")</f>
        <v xml:space="preserve"> </v>
      </c>
      <c r="J400" s="424"/>
      <c r="K400" s="353"/>
      <c r="L400" s="425"/>
    </row>
    <row r="401" spans="1:13" s="53" customFormat="1">
      <c r="A401" s="391">
        <v>3</v>
      </c>
      <c r="B401" s="487">
        <v>30</v>
      </c>
      <c r="C401" s="502">
        <v>40</v>
      </c>
      <c r="D401" s="472">
        <f t="shared" ref="D401:D402" si="39">(B401-2)*(C401-2)</f>
        <v>1064</v>
      </c>
      <c r="E401" s="358">
        <f>(H394*(((25*D401*100)/(0.9*1.5))+((0.008*D401*400)/1.15)))/1000</f>
        <v>1560.440668193583</v>
      </c>
      <c r="F401" s="483">
        <f>E383</f>
        <v>211.07</v>
      </c>
      <c r="G401" s="274">
        <f t="shared" si="37"/>
        <v>232.17700000000002</v>
      </c>
      <c r="H401" s="445" t="str">
        <f t="shared" si="38"/>
        <v>vérifiée</v>
      </c>
      <c r="I401" s="444" t="str">
        <f>IF(G401&lt;E401," ", "non vérifiée")</f>
        <v xml:space="preserve"> </v>
      </c>
      <c r="J401" s="424"/>
      <c r="K401" s="353"/>
      <c r="L401" s="425"/>
    </row>
    <row r="402" spans="1:13" s="53" customFormat="1">
      <c r="A402" s="391">
        <v>4</v>
      </c>
      <c r="B402" s="487">
        <v>30</v>
      </c>
      <c r="C402" s="502">
        <v>40</v>
      </c>
      <c r="D402" s="472">
        <f t="shared" si="39"/>
        <v>1064</v>
      </c>
      <c r="E402" s="358">
        <f>(H395*(((25*D402*100)/(0.9*1.5))+((0.008*D402*400)/1.15)))/1000</f>
        <v>1560.440668193583</v>
      </c>
      <c r="F402" s="483">
        <f>E384</f>
        <v>69.95</v>
      </c>
      <c r="G402" s="274">
        <f t="shared" si="37"/>
        <v>76.945000000000007</v>
      </c>
      <c r="H402" s="445" t="str">
        <f t="shared" si="38"/>
        <v>vérifiée</v>
      </c>
      <c r="I402" s="444"/>
      <c r="J402" s="424"/>
      <c r="K402" s="353"/>
      <c r="L402" s="425"/>
    </row>
    <row r="403" spans="1:13" s="53" customFormat="1">
      <c r="A403" s="446" t="s">
        <v>743</v>
      </c>
      <c r="B403" s="362"/>
      <c r="C403" s="362"/>
      <c r="D403" s="310"/>
      <c r="E403" s="310"/>
      <c r="F403" s="362"/>
      <c r="G403" s="310"/>
      <c r="H403" s="310"/>
      <c r="I403" s="310"/>
      <c r="J403" s="310"/>
      <c r="K403" s="310"/>
      <c r="L403" s="70"/>
      <c r="M403" s="76"/>
    </row>
    <row r="404" spans="1:13" s="53" customFormat="1">
      <c r="A404" s="446" t="s">
        <v>744</v>
      </c>
      <c r="B404" s="362"/>
      <c r="C404" s="362"/>
      <c r="D404" s="310"/>
      <c r="E404" s="310"/>
      <c r="F404" s="362"/>
      <c r="G404" s="310"/>
      <c r="H404" s="310"/>
      <c r="I404" s="310"/>
      <c r="J404" s="310"/>
      <c r="K404" s="310"/>
      <c r="L404" s="70"/>
      <c r="M404" s="76"/>
    </row>
    <row r="405" spans="1:13" s="53" customFormat="1">
      <c r="A405" s="368" t="s">
        <v>162</v>
      </c>
      <c r="B405" s="362"/>
      <c r="C405" s="362"/>
      <c r="D405" s="310"/>
      <c r="E405" s="310"/>
      <c r="F405" s="362"/>
      <c r="G405" s="310"/>
      <c r="H405" s="310"/>
      <c r="I405" s="310"/>
      <c r="J405" s="310"/>
      <c r="K405" s="310"/>
      <c r="L405" s="70"/>
      <c r="M405" s="76"/>
    </row>
    <row r="406" spans="1:13" s="53" customFormat="1">
      <c r="A406" s="310" t="s">
        <v>163</v>
      </c>
      <c r="B406" s="362"/>
      <c r="C406" s="362"/>
      <c r="D406" s="310"/>
      <c r="E406" s="310"/>
      <c r="F406" s="362"/>
      <c r="G406" s="310"/>
      <c r="H406" s="310"/>
      <c r="I406" s="310"/>
      <c r="J406" s="310"/>
      <c r="K406" s="310"/>
      <c r="L406" s="70"/>
      <c r="M406" s="76"/>
    </row>
    <row r="407" spans="1:13">
      <c r="A407" s="310" t="s">
        <v>164</v>
      </c>
      <c r="B407" s="362"/>
      <c r="C407" s="362"/>
      <c r="D407" s="310"/>
      <c r="E407" s="310"/>
      <c r="F407" s="310"/>
      <c r="G407" s="310"/>
      <c r="H407" s="310"/>
      <c r="I407" s="310"/>
      <c r="J407" s="310"/>
      <c r="K407" s="310"/>
      <c r="L407" s="70"/>
      <c r="M407" s="76"/>
    </row>
    <row r="408" spans="1:13">
      <c r="A408" s="310"/>
      <c r="B408" s="362"/>
      <c r="C408" s="362"/>
      <c r="D408" s="310"/>
      <c r="E408" s="310"/>
      <c r="F408" s="310"/>
      <c r="G408" s="310"/>
      <c r="H408" s="310"/>
      <c r="I408" s="310"/>
      <c r="J408" s="310"/>
      <c r="K408" s="310"/>
      <c r="L408" s="70"/>
      <c r="M408" s="76"/>
    </row>
    <row r="409" spans="1:13" s="53" customFormat="1">
      <c r="A409" s="310"/>
      <c r="B409" s="362"/>
      <c r="C409" s="362"/>
      <c r="D409" s="310"/>
      <c r="E409" s="310"/>
      <c r="F409" s="310"/>
      <c r="G409" s="310"/>
      <c r="H409" s="310"/>
      <c r="I409" s="310"/>
      <c r="J409" s="310"/>
      <c r="K409" s="310"/>
      <c r="L409" s="70"/>
      <c r="M409" s="76"/>
    </row>
    <row r="410" spans="1:13" s="53" customFormat="1">
      <c r="A410" s="368" t="s">
        <v>165</v>
      </c>
      <c r="B410" s="362"/>
      <c r="C410" s="362"/>
      <c r="D410" s="310"/>
      <c r="E410" s="310"/>
      <c r="F410" s="362"/>
      <c r="G410" s="310"/>
      <c r="H410" s="310"/>
      <c r="I410" s="310"/>
      <c r="J410" s="310"/>
      <c r="K410" s="310"/>
      <c r="L410" s="70"/>
      <c r="M410" s="76"/>
    </row>
    <row r="411" spans="1:13" s="53" customFormat="1">
      <c r="A411" s="310"/>
      <c r="B411" s="447" t="s">
        <v>745</v>
      </c>
      <c r="C411" s="362"/>
      <c r="D411" s="310"/>
      <c r="E411" s="310"/>
      <c r="F411" s="362"/>
      <c r="G411" s="310"/>
      <c r="H411" s="310"/>
      <c r="I411" s="310"/>
      <c r="J411" s="310"/>
      <c r="K411" s="310"/>
      <c r="L411" s="70"/>
      <c r="M411" s="76"/>
    </row>
    <row r="412" spans="1:13">
      <c r="A412" s="310"/>
      <c r="B412" s="447" t="s">
        <v>746</v>
      </c>
      <c r="C412" s="362"/>
      <c r="D412" s="310"/>
      <c r="E412" s="310"/>
      <c r="F412" s="362"/>
      <c r="G412" s="310"/>
      <c r="H412" s="310"/>
      <c r="I412" s="310"/>
      <c r="J412" s="310"/>
      <c r="K412" s="310"/>
      <c r="L412" s="70"/>
      <c r="M412" s="76"/>
    </row>
    <row r="413" spans="1:13">
      <c r="A413" s="310"/>
      <c r="B413" s="447" t="s">
        <v>747</v>
      </c>
      <c r="C413" s="362"/>
      <c r="D413" s="310"/>
      <c r="E413" s="310"/>
      <c r="F413" s="362"/>
      <c r="G413" s="310"/>
      <c r="H413" s="310"/>
      <c r="I413" s="310"/>
      <c r="J413" s="310"/>
      <c r="K413" s="310"/>
      <c r="L413" s="70"/>
      <c r="M413" s="76"/>
    </row>
    <row r="414" spans="1:13">
      <c r="A414" s="310"/>
      <c r="B414" s="447" t="s">
        <v>748</v>
      </c>
      <c r="C414" s="362"/>
      <c r="D414" s="310"/>
      <c r="E414" s="310"/>
      <c r="F414" s="362"/>
      <c r="G414" s="310"/>
      <c r="H414" s="310"/>
      <c r="I414" s="310"/>
      <c r="J414" s="310"/>
      <c r="K414" s="310"/>
      <c r="L414" s="70"/>
      <c r="M414" s="76"/>
    </row>
    <row r="415" spans="1:13">
      <c r="A415" s="527" t="s">
        <v>127</v>
      </c>
      <c r="B415" s="371"/>
      <c r="C415" s="372"/>
      <c r="D415" s="372"/>
      <c r="E415" s="373"/>
      <c r="F415" s="371"/>
      <c r="G415" s="372"/>
      <c r="H415" s="372"/>
      <c r="I415" s="478"/>
      <c r="J415" s="477"/>
    </row>
    <row r="416" spans="1:13">
      <c r="A416" s="528"/>
      <c r="B416" s="350" t="s">
        <v>166</v>
      </c>
      <c r="C416" s="435" t="s">
        <v>133</v>
      </c>
      <c r="D416" s="435" t="s">
        <v>222</v>
      </c>
      <c r="E416" s="435" t="s">
        <v>223</v>
      </c>
      <c r="F416" s="350" t="s">
        <v>166</v>
      </c>
      <c r="G416" s="435" t="s">
        <v>133</v>
      </c>
      <c r="H416" s="435" t="s">
        <v>222</v>
      </c>
      <c r="I416" s="550" t="s">
        <v>223</v>
      </c>
      <c r="J416" s="551"/>
    </row>
    <row r="417" spans="1:13" ht="31.5">
      <c r="A417" s="449" t="s">
        <v>778</v>
      </c>
      <c r="B417" s="274" t="s">
        <v>167</v>
      </c>
      <c r="C417" s="487">
        <v>525.89</v>
      </c>
      <c r="D417" s="496">
        <v>0.19900000000000001</v>
      </c>
      <c r="E417" s="496">
        <v>-1.3129999999999999</v>
      </c>
      <c r="F417" s="274" t="s">
        <v>168</v>
      </c>
      <c r="G417" s="487">
        <v>-103.82</v>
      </c>
      <c r="H417" s="501">
        <v>21.032</v>
      </c>
      <c r="I417" s="552">
        <v>5.3840000000000003</v>
      </c>
      <c r="J417" s="553"/>
    </row>
    <row r="418" spans="1:13" s="76" customFormat="1">
      <c r="A418" s="371"/>
      <c r="B418" s="372"/>
      <c r="C418" s="374"/>
      <c r="D418" s="375"/>
      <c r="E418" s="353"/>
      <c r="F418" s="353"/>
      <c r="G418" s="353"/>
      <c r="H418" s="353"/>
      <c r="I418" s="353"/>
      <c r="J418" s="353"/>
      <c r="K418" s="353"/>
      <c r="L418" s="63"/>
      <c r="M418" s="63"/>
    </row>
    <row r="419" spans="1:13" s="76" customFormat="1">
      <c r="A419" s="350" t="s">
        <v>166</v>
      </c>
      <c r="B419" s="435" t="s">
        <v>133</v>
      </c>
      <c r="C419" s="448" t="s">
        <v>222</v>
      </c>
      <c r="D419" s="376" t="s">
        <v>223</v>
      </c>
      <c r="E419" s="353"/>
      <c r="F419" s="353"/>
      <c r="G419" s="353"/>
      <c r="H419" s="353"/>
      <c r="I419" s="353"/>
      <c r="J419" s="353"/>
      <c r="K419" s="353"/>
      <c r="L419" s="63"/>
      <c r="M419" s="63"/>
    </row>
    <row r="420" spans="1:13">
      <c r="A420" s="274" t="s">
        <v>168</v>
      </c>
      <c r="B420" s="487">
        <v>383.5</v>
      </c>
      <c r="C420" s="47">
        <v>-6.1749999999999998</v>
      </c>
      <c r="D420" s="47">
        <v>-61.792999999999999</v>
      </c>
      <c r="E420" s="353"/>
      <c r="F420" s="353"/>
      <c r="G420" s="353"/>
      <c r="H420" s="353"/>
      <c r="I420" s="353"/>
      <c r="J420" s="310"/>
      <c r="K420" s="310"/>
      <c r="L420" s="70"/>
      <c r="M420" s="70"/>
    </row>
    <row r="421" spans="1:13" s="76" customFormat="1">
      <c r="A421" s="439"/>
      <c r="B421" s="354"/>
      <c r="C421" s="353"/>
      <c r="D421" s="353"/>
      <c r="E421" s="353"/>
      <c r="G421" s="353"/>
      <c r="H421" s="353"/>
      <c r="I421" s="353"/>
      <c r="J421" s="310"/>
      <c r="K421" s="310"/>
      <c r="L421" s="70"/>
      <c r="M421" s="70"/>
    </row>
    <row r="422" spans="1:13">
      <c r="A422" s="433" t="s">
        <v>749</v>
      </c>
      <c r="B422" s="362"/>
      <c r="C422" s="362"/>
      <c r="D422" s="310"/>
      <c r="E422" s="310"/>
      <c r="F422" s="362"/>
      <c r="G422" s="310"/>
      <c r="H422" s="310"/>
      <c r="I422" s="310"/>
      <c r="J422" s="310"/>
      <c r="K422" s="310"/>
      <c r="L422" s="70"/>
      <c r="M422" s="70"/>
    </row>
    <row r="423" spans="1:13">
      <c r="A423" s="310"/>
      <c r="B423" s="362" t="s">
        <v>169</v>
      </c>
      <c r="C423" s="362"/>
      <c r="D423" s="450" t="s">
        <v>170</v>
      </c>
      <c r="E423" s="310"/>
      <c r="F423" s="383">
        <v>0.8</v>
      </c>
      <c r="G423" s="310" t="s">
        <v>171</v>
      </c>
      <c r="H423" s="310"/>
      <c r="I423" s="310"/>
      <c r="J423" s="310"/>
      <c r="K423" s="310"/>
      <c r="L423" s="70"/>
      <c r="M423" s="70"/>
    </row>
    <row r="424" spans="1:13">
      <c r="A424" s="377"/>
      <c r="B424" s="362"/>
      <c r="C424" s="362"/>
      <c r="D424" s="310"/>
      <c r="E424" s="310"/>
      <c r="F424" s="362"/>
      <c r="G424" s="310"/>
      <c r="H424" s="310"/>
      <c r="I424" s="310"/>
      <c r="J424" s="310"/>
      <c r="K424" s="310"/>
      <c r="L424" s="70"/>
      <c r="M424" s="70"/>
    </row>
    <row r="425" spans="1:13">
      <c r="A425" s="527" t="s">
        <v>127</v>
      </c>
      <c r="B425" s="520" t="s">
        <v>157</v>
      </c>
      <c r="C425" s="521"/>
      <c r="D425" s="363"/>
      <c r="E425" s="363"/>
      <c r="F425" s="560"/>
      <c r="G425" s="561"/>
      <c r="H425" s="310"/>
      <c r="I425" s="310"/>
      <c r="J425" s="310"/>
      <c r="K425" s="310"/>
      <c r="L425" s="70"/>
      <c r="M425" s="70"/>
    </row>
    <row r="426" spans="1:13">
      <c r="A426" s="528"/>
      <c r="B426" s="430" t="s">
        <v>134</v>
      </c>
      <c r="C426" s="431" t="s">
        <v>135</v>
      </c>
      <c r="D426" s="350" t="s">
        <v>158</v>
      </c>
      <c r="E426" s="350" t="s">
        <v>158</v>
      </c>
      <c r="F426" s="609" t="s">
        <v>158</v>
      </c>
      <c r="G426" s="610"/>
      <c r="H426" s="310"/>
      <c r="I426" s="310"/>
      <c r="J426" s="367"/>
      <c r="K426" s="310"/>
      <c r="L426" s="70"/>
      <c r="M426" s="70"/>
    </row>
    <row r="427" spans="1:13" ht="31.5">
      <c r="A427" s="680" t="s">
        <v>779</v>
      </c>
      <c r="B427" s="274">
        <v>30</v>
      </c>
      <c r="C427" s="274">
        <v>40</v>
      </c>
      <c r="D427" s="274">
        <f>(F423/100)*B427*C427</f>
        <v>9.6</v>
      </c>
      <c r="E427" s="274">
        <f>2.8*2</f>
        <v>5.6</v>
      </c>
      <c r="F427" s="552" t="s">
        <v>782</v>
      </c>
      <c r="G427" s="553"/>
      <c r="H427" s="310"/>
      <c r="I427" s="310"/>
      <c r="J427" s="367"/>
      <c r="K427" s="310"/>
      <c r="L427" s="70"/>
      <c r="M427" s="70"/>
    </row>
    <row r="428" spans="1:13" s="53" customFormat="1">
      <c r="A428" s="439"/>
      <c r="B428" s="353"/>
      <c r="C428" s="353"/>
      <c r="D428" s="353"/>
      <c r="E428" s="353"/>
      <c r="F428" s="378"/>
      <c r="G428" s="378"/>
      <c r="H428" s="310"/>
      <c r="I428" s="310"/>
      <c r="J428" s="310"/>
      <c r="K428" s="310"/>
      <c r="L428" s="379"/>
      <c r="M428" s="379"/>
    </row>
    <row r="429" spans="1:13">
      <c r="A429" s="433" t="s">
        <v>750</v>
      </c>
      <c r="B429" s="362"/>
      <c r="C429" s="362"/>
      <c r="D429" s="310"/>
      <c r="E429" s="310"/>
      <c r="F429" s="362"/>
      <c r="G429" s="310"/>
      <c r="H429" s="310"/>
      <c r="I429" s="310"/>
      <c r="J429" s="310"/>
      <c r="K429" s="310"/>
      <c r="L429" s="70"/>
      <c r="M429" s="70"/>
    </row>
    <row r="430" spans="1:13">
      <c r="A430" s="368" t="s">
        <v>172</v>
      </c>
      <c r="B430" s="362"/>
      <c r="C430" s="362"/>
      <c r="D430" s="310"/>
      <c r="E430" s="310"/>
      <c r="F430" s="362"/>
      <c r="G430" s="310"/>
      <c r="H430" s="310" t="s">
        <v>159</v>
      </c>
      <c r="I430" s="310"/>
      <c r="J430" s="310"/>
      <c r="K430" s="310"/>
      <c r="L430" s="70"/>
      <c r="M430" s="70"/>
    </row>
    <row r="431" spans="1:13">
      <c r="A431" s="368"/>
      <c r="B431" s="362"/>
      <c r="C431" s="362"/>
      <c r="D431" s="310"/>
      <c r="E431" s="310"/>
      <c r="F431" s="362"/>
      <c r="G431" s="310"/>
      <c r="H431" s="310"/>
      <c r="I431" s="310"/>
      <c r="J431" s="310"/>
      <c r="K431" s="310"/>
      <c r="L431" s="70"/>
      <c r="M431" s="70"/>
    </row>
    <row r="432" spans="1:13">
      <c r="A432" s="527" t="s">
        <v>127</v>
      </c>
      <c r="B432" s="520" t="s">
        <v>157</v>
      </c>
      <c r="C432" s="521"/>
      <c r="D432" s="363"/>
      <c r="E432" s="363"/>
      <c r="F432" s="593"/>
      <c r="G432" s="363"/>
      <c r="H432" s="363"/>
      <c r="I432" s="363"/>
      <c r="J432" s="310"/>
      <c r="K432" s="310"/>
      <c r="L432" s="70"/>
      <c r="M432" s="70"/>
    </row>
    <row r="433" spans="1:13">
      <c r="A433" s="528"/>
      <c r="B433" s="430" t="s">
        <v>134</v>
      </c>
      <c r="C433" s="431" t="s">
        <v>135</v>
      </c>
      <c r="D433" s="350" t="s">
        <v>144</v>
      </c>
      <c r="E433" s="350" t="s">
        <v>144</v>
      </c>
      <c r="F433" s="594"/>
      <c r="G433" s="350" t="s">
        <v>152</v>
      </c>
      <c r="H433" s="350" t="s">
        <v>144</v>
      </c>
      <c r="I433" s="350" t="s">
        <v>144</v>
      </c>
      <c r="J433" s="310"/>
      <c r="K433" s="310"/>
      <c r="L433" s="70"/>
      <c r="M433" s="70"/>
    </row>
    <row r="434" spans="1:13">
      <c r="A434" s="451" t="s">
        <v>471</v>
      </c>
      <c r="B434" s="274">
        <v>30</v>
      </c>
      <c r="C434" s="274">
        <v>40</v>
      </c>
      <c r="D434" s="274">
        <v>1.4</v>
      </c>
      <c r="E434" s="359">
        <v>300</v>
      </c>
      <c r="F434" s="358">
        <f>E434/MAX(B434,C434)</f>
        <v>7.5</v>
      </c>
      <c r="G434" s="274">
        <v>8.35</v>
      </c>
      <c r="H434" s="274">
        <v>10</v>
      </c>
      <c r="I434" s="274">
        <v>15</v>
      </c>
      <c r="J434" s="310"/>
      <c r="K434" s="310"/>
      <c r="L434" s="70"/>
      <c r="M434" s="70"/>
    </row>
    <row r="435" spans="1:13">
      <c r="A435" s="451" t="s">
        <v>472</v>
      </c>
      <c r="B435" s="274">
        <v>30</v>
      </c>
      <c r="C435" s="502">
        <v>40</v>
      </c>
      <c r="D435" s="274">
        <v>1.4</v>
      </c>
      <c r="E435" s="359">
        <v>300</v>
      </c>
      <c r="F435" s="358">
        <f>E435/MAX(B435,C435)</f>
        <v>7.5</v>
      </c>
      <c r="G435" s="274">
        <v>14.47</v>
      </c>
      <c r="H435" s="274">
        <v>10</v>
      </c>
      <c r="I435" s="274">
        <v>15</v>
      </c>
      <c r="J435" s="310"/>
      <c r="K435" s="310"/>
      <c r="L435" s="70"/>
      <c r="M435" s="70"/>
    </row>
    <row r="436" spans="1:13">
      <c r="A436" s="451" t="s">
        <v>473</v>
      </c>
      <c r="B436" s="274">
        <v>30</v>
      </c>
      <c r="C436" s="502">
        <v>40</v>
      </c>
      <c r="D436" s="274">
        <v>1.4</v>
      </c>
      <c r="E436" s="359">
        <v>300</v>
      </c>
      <c r="F436" s="358">
        <f>E436/C436</f>
        <v>7.5</v>
      </c>
      <c r="G436" s="274">
        <v>19.11</v>
      </c>
      <c r="H436" s="274">
        <v>10</v>
      </c>
      <c r="I436" s="274">
        <v>15</v>
      </c>
      <c r="J436" s="310"/>
      <c r="K436" s="310"/>
      <c r="L436" s="70"/>
      <c r="M436" s="70"/>
    </row>
    <row r="437" spans="1:13" s="76" customFormat="1">
      <c r="A437" s="451" t="s">
        <v>791</v>
      </c>
      <c r="B437" s="496">
        <v>30</v>
      </c>
      <c r="C437" s="502">
        <v>40</v>
      </c>
      <c r="D437" s="496">
        <v>1.4</v>
      </c>
      <c r="E437" s="359">
        <v>300</v>
      </c>
      <c r="F437" s="358">
        <f>E437/C437</f>
        <v>7.5</v>
      </c>
      <c r="G437" s="496">
        <v>12.04</v>
      </c>
      <c r="H437" s="496">
        <v>10</v>
      </c>
      <c r="I437" s="496">
        <v>15</v>
      </c>
      <c r="J437" s="310"/>
      <c r="K437" s="310"/>
      <c r="L437" s="70"/>
      <c r="M437" s="70"/>
    </row>
    <row r="438" spans="1:13" s="53" customFormat="1">
      <c r="A438" s="527" t="s">
        <v>127</v>
      </c>
      <c r="B438" s="520" t="s">
        <v>157</v>
      </c>
      <c r="C438" s="521"/>
      <c r="D438" s="363"/>
      <c r="E438" s="363"/>
      <c r="F438" s="560" t="s">
        <v>158</v>
      </c>
      <c r="G438" s="561"/>
      <c r="H438" s="560" t="s">
        <v>173</v>
      </c>
      <c r="I438" s="561"/>
      <c r="J438" s="367"/>
      <c r="K438" s="367"/>
      <c r="L438" s="379"/>
      <c r="M438" s="379"/>
    </row>
    <row r="439" spans="1:13" s="53" customFormat="1">
      <c r="A439" s="528"/>
      <c r="B439" s="430" t="s">
        <v>134</v>
      </c>
      <c r="C439" s="431" t="s">
        <v>135</v>
      </c>
      <c r="D439" s="350"/>
      <c r="E439" s="350" t="s">
        <v>158</v>
      </c>
      <c r="F439" s="609"/>
      <c r="G439" s="610"/>
      <c r="H439" s="609" t="s">
        <v>158</v>
      </c>
      <c r="I439" s="610"/>
      <c r="J439" s="367"/>
      <c r="K439" s="367"/>
      <c r="L439" s="379"/>
      <c r="M439" s="379"/>
    </row>
    <row r="440" spans="1:13" s="53" customFormat="1">
      <c r="A440" s="451" t="s">
        <v>471</v>
      </c>
      <c r="B440" s="274">
        <v>30</v>
      </c>
      <c r="C440" s="472">
        <v>40</v>
      </c>
      <c r="D440" s="274">
        <f>IF(F434&gt;=5, 2.5, 3.75 )</f>
        <v>2.5</v>
      </c>
      <c r="E440" s="380">
        <f>(D440*G434*I434*10)/(MIN(B434,C434)*400)</f>
        <v>0.26093749999999999</v>
      </c>
      <c r="F440" s="380">
        <f>IF(F434&gt;=5,  0.003*H434*MAX(B434,C434), "…"  )</f>
        <v>1.2</v>
      </c>
      <c r="G440" s="381" t="str">
        <f>IF(F434&lt;=3,  0.008*H434*MAX(B434,C434), "…"  )</f>
        <v>…</v>
      </c>
      <c r="H440" s="587" t="s">
        <v>194</v>
      </c>
      <c r="I440" s="587"/>
      <c r="J440" s="367"/>
      <c r="K440" s="367"/>
      <c r="L440" s="379"/>
      <c r="M440" s="379"/>
    </row>
    <row r="441" spans="1:13" s="53" customFormat="1">
      <c r="A441" s="451" t="s">
        <v>472</v>
      </c>
      <c r="B441" s="274">
        <v>30</v>
      </c>
      <c r="C441" s="502">
        <v>40</v>
      </c>
      <c r="D441" s="274">
        <f>IF(F435&gt;=5, 2.5, 3.75 )</f>
        <v>2.5</v>
      </c>
      <c r="E441" s="380">
        <f>(D441*G435*I435*10)/(MIN(B435,C435)*400)</f>
        <v>0.45218750000000008</v>
      </c>
      <c r="F441" s="380">
        <f>IF(F435&gt;=5,  0.003*H435*MAX(B435,C435), "…"  )</f>
        <v>1.2</v>
      </c>
      <c r="G441" s="381" t="str">
        <f>IF(F435&lt;=3,  0.008*H435*MAX(B435,C435), "…"  )</f>
        <v>…</v>
      </c>
      <c r="H441" s="587" t="s">
        <v>194</v>
      </c>
      <c r="I441" s="587"/>
      <c r="J441" s="367"/>
      <c r="K441" s="367"/>
      <c r="L441" s="379"/>
      <c r="M441" s="379"/>
    </row>
    <row r="442" spans="1:13">
      <c r="A442" s="451" t="s">
        <v>473</v>
      </c>
      <c r="B442" s="274">
        <v>30</v>
      </c>
      <c r="C442" s="502">
        <v>40</v>
      </c>
      <c r="D442" s="274">
        <f>IF(F436&gt;=5, 2.5, 3.75 )</f>
        <v>2.5</v>
      </c>
      <c r="E442" s="380">
        <f>(D442*G436*I436*10)/(C436*400)</f>
        <v>0.44789062499999999</v>
      </c>
      <c r="F442" s="380">
        <f>IF(F436&gt;=5,  0.003*H436*MAX(B436,C436), "…"  )</f>
        <v>1.2</v>
      </c>
      <c r="G442" s="381" t="str">
        <f>IF(F436&lt;=3,  0.008*H436*MAX(B436,C436), "…"  )</f>
        <v>…</v>
      </c>
      <c r="H442" s="587" t="s">
        <v>194</v>
      </c>
      <c r="I442" s="587"/>
      <c r="J442" s="310" t="s">
        <v>252</v>
      </c>
      <c r="K442" s="310"/>
      <c r="L442" s="70"/>
      <c r="M442" s="70"/>
    </row>
    <row r="443" spans="1:13" s="76" customFormat="1">
      <c r="A443" s="451" t="s">
        <v>791</v>
      </c>
      <c r="B443" s="496">
        <v>30</v>
      </c>
      <c r="C443" s="502">
        <v>40</v>
      </c>
      <c r="D443" s="496">
        <f>IF(F437&gt;=5, 2.5, 3.75 )</f>
        <v>2.5</v>
      </c>
      <c r="E443" s="498">
        <f>(D443*G437*I437*10)/(C437*400)</f>
        <v>0.28218749999999992</v>
      </c>
      <c r="F443" s="498">
        <f>IF(F437&gt;=5,  0.003*H437*MAX(B437,C437), "…"  )</f>
        <v>1.2</v>
      </c>
      <c r="G443" s="497" t="str">
        <f>IF(F437&lt;=3,  0.008*H437*MAX(B437,C437), "…"  )</f>
        <v>…</v>
      </c>
      <c r="H443" s="587" t="s">
        <v>194</v>
      </c>
      <c r="I443" s="587"/>
      <c r="J443" s="310"/>
      <c r="K443" s="310"/>
      <c r="L443" s="70"/>
      <c r="M443" s="70"/>
    </row>
    <row r="444" spans="1:13">
      <c r="A444" s="310"/>
      <c r="B444" s="362"/>
      <c r="C444" s="362"/>
      <c r="D444" s="310"/>
      <c r="E444" s="310"/>
      <c r="F444" s="362"/>
      <c r="G444" s="310"/>
      <c r="H444" s="310"/>
      <c r="I444" s="310"/>
      <c r="J444" s="310"/>
      <c r="K444" s="310"/>
      <c r="L444" s="70"/>
    </row>
    <row r="445" spans="1:13">
      <c r="A445" s="433" t="s">
        <v>751</v>
      </c>
      <c r="B445" s="362"/>
      <c r="C445" s="362"/>
      <c r="D445" s="310"/>
      <c r="E445" s="310"/>
      <c r="F445" s="362"/>
      <c r="G445" s="310"/>
      <c r="H445" s="310"/>
      <c r="I445" s="310"/>
      <c r="J445" s="310"/>
      <c r="K445" s="310"/>
      <c r="L445" s="70"/>
    </row>
    <row r="446" spans="1:13">
      <c r="A446" s="368" t="s">
        <v>174</v>
      </c>
      <c r="B446" s="362"/>
      <c r="C446" s="362"/>
      <c r="D446" s="310"/>
      <c r="E446" s="310"/>
      <c r="F446" s="362"/>
      <c r="G446" s="310"/>
      <c r="H446" s="310"/>
      <c r="I446" s="310"/>
      <c r="J446" s="310"/>
      <c r="K446" s="310"/>
      <c r="L446" s="70"/>
    </row>
    <row r="447" spans="1:13">
      <c r="A447" s="310" t="s">
        <v>175</v>
      </c>
      <c r="B447" s="362"/>
      <c r="C447" s="362"/>
      <c r="D447" s="310"/>
      <c r="E447" s="310"/>
      <c r="F447" s="362"/>
      <c r="G447" s="310"/>
      <c r="H447" s="382" t="s">
        <v>176</v>
      </c>
      <c r="I447" s="310"/>
      <c r="J447" s="310"/>
      <c r="K447" s="310"/>
      <c r="L447" s="70"/>
    </row>
    <row r="448" spans="1:13">
      <c r="A448" s="369" t="s">
        <v>137</v>
      </c>
      <c r="B448" s="383">
        <v>25</v>
      </c>
      <c r="C448" s="384" t="s">
        <v>16</v>
      </c>
      <c r="D448" s="310"/>
      <c r="E448" s="310"/>
      <c r="F448" s="310"/>
      <c r="G448" s="310"/>
      <c r="H448" s="310"/>
      <c r="I448" s="310"/>
      <c r="J448" s="310"/>
      <c r="K448" s="310"/>
      <c r="L448" s="70"/>
    </row>
    <row r="449" spans="1:12">
      <c r="A449" s="527" t="s">
        <v>127</v>
      </c>
      <c r="B449" s="520" t="s">
        <v>157</v>
      </c>
      <c r="C449" s="522"/>
      <c r="D449" s="363"/>
      <c r="E449" s="593"/>
      <c r="F449" s="593"/>
      <c r="G449" s="364" t="s">
        <v>177</v>
      </c>
      <c r="H449" s="363"/>
      <c r="I449" s="310"/>
      <c r="J449" s="367"/>
      <c r="K449" s="367"/>
      <c r="L449" s="70"/>
    </row>
    <row r="450" spans="1:12">
      <c r="A450" s="528"/>
      <c r="B450" s="430" t="s">
        <v>134</v>
      </c>
      <c r="C450" s="430" t="s">
        <v>135</v>
      </c>
      <c r="D450" s="350" t="s">
        <v>144</v>
      </c>
      <c r="E450" s="594"/>
      <c r="F450" s="594"/>
      <c r="G450" s="350" t="s">
        <v>144</v>
      </c>
      <c r="H450" s="350" t="s">
        <v>152</v>
      </c>
      <c r="I450" s="310"/>
      <c r="J450" s="367"/>
      <c r="K450" s="367"/>
      <c r="L450" s="70"/>
    </row>
    <row r="451" spans="1:12">
      <c r="A451" s="451" t="s">
        <v>471</v>
      </c>
      <c r="B451" s="274">
        <v>30</v>
      </c>
      <c r="C451" s="472">
        <v>40</v>
      </c>
      <c r="D451" s="359">
        <f>+E434</f>
        <v>300</v>
      </c>
      <c r="E451" s="358">
        <f>D451/MAX(B451,C451)</f>
        <v>7.5</v>
      </c>
      <c r="F451" s="352">
        <f>IF(E451&gt;=5, 0.075, 0.04 )</f>
        <v>7.4999999999999997E-2</v>
      </c>
      <c r="G451" s="274">
        <f>0.9*MIN(B451,C451)</f>
        <v>27</v>
      </c>
      <c r="H451" s="472">
        <f>+G434</f>
        <v>8.35</v>
      </c>
      <c r="I451" s="310"/>
      <c r="J451" s="367"/>
      <c r="K451" s="367"/>
      <c r="L451" s="70"/>
    </row>
    <row r="452" spans="1:12">
      <c r="A452" s="451" t="s">
        <v>472</v>
      </c>
      <c r="B452" s="274">
        <v>30</v>
      </c>
      <c r="C452" s="502">
        <v>40</v>
      </c>
      <c r="D452" s="359">
        <f>+E435</f>
        <v>300</v>
      </c>
      <c r="E452" s="358">
        <f>D452/MAX(B452,C452)</f>
        <v>7.5</v>
      </c>
      <c r="F452" s="352">
        <f>IF(E452&gt;=5, 0.075, 0.04 )</f>
        <v>7.4999999999999997E-2</v>
      </c>
      <c r="G452" s="274">
        <f>0.9*MIN(B452,C452)</f>
        <v>27</v>
      </c>
      <c r="H452" s="482">
        <f>+G435</f>
        <v>14.47</v>
      </c>
      <c r="I452" s="310"/>
      <c r="J452" s="367"/>
      <c r="K452" s="367"/>
      <c r="L452" s="70"/>
    </row>
    <row r="453" spans="1:12">
      <c r="A453" s="451" t="s">
        <v>473</v>
      </c>
      <c r="B453" s="274">
        <v>30</v>
      </c>
      <c r="C453" s="502">
        <v>40</v>
      </c>
      <c r="D453" s="359">
        <f>+E436</f>
        <v>300</v>
      </c>
      <c r="E453" s="358">
        <f>D453/MAX(B453,C453)</f>
        <v>7.5</v>
      </c>
      <c r="F453" s="352">
        <f>IF(E453&gt;=5, 0.075, 0.04 )</f>
        <v>7.4999999999999997E-2</v>
      </c>
      <c r="G453" s="274">
        <f>0.9*MIN(B453,C453)</f>
        <v>27</v>
      </c>
      <c r="H453" s="482">
        <f>+G436</f>
        <v>19.11</v>
      </c>
      <c r="I453" s="310"/>
      <c r="J453" s="367"/>
      <c r="K453" s="367"/>
      <c r="L453" s="70"/>
    </row>
    <row r="454" spans="1:12" s="76" customFormat="1">
      <c r="A454" s="451" t="s">
        <v>791</v>
      </c>
      <c r="B454" s="487">
        <v>30</v>
      </c>
      <c r="C454" s="502">
        <v>40</v>
      </c>
      <c r="D454" s="359">
        <f>+E437</f>
        <v>300</v>
      </c>
      <c r="E454" s="358">
        <f>D454/MAX(B454,C454)</f>
        <v>7.5</v>
      </c>
      <c r="F454" s="352">
        <f>IF(E454&gt;=5, 0.075, 0.04 )</f>
        <v>7.4999999999999997E-2</v>
      </c>
      <c r="G454" s="487">
        <f>0.9*MIN(B454,C454)</f>
        <v>27</v>
      </c>
      <c r="H454" s="487">
        <f>+G437</f>
        <v>12.04</v>
      </c>
      <c r="I454" s="310"/>
      <c r="J454" s="367"/>
      <c r="K454" s="367"/>
      <c r="L454" s="70"/>
    </row>
    <row r="455" spans="1:12">
      <c r="A455" s="527" t="s">
        <v>127</v>
      </c>
      <c r="B455" s="520" t="s">
        <v>157</v>
      </c>
      <c r="C455" s="522"/>
      <c r="D455" s="363"/>
      <c r="E455" s="363"/>
      <c r="F455" s="523" t="s">
        <v>413</v>
      </c>
      <c r="G455" s="604"/>
      <c r="H455" s="525"/>
      <c r="I455" s="367"/>
      <c r="J455" s="310"/>
      <c r="K455" s="310"/>
      <c r="L455" s="70"/>
    </row>
    <row r="456" spans="1:12">
      <c r="A456" s="528"/>
      <c r="B456" s="430" t="s">
        <v>134</v>
      </c>
      <c r="C456" s="430" t="s">
        <v>135</v>
      </c>
      <c r="D456" s="350" t="s">
        <v>178</v>
      </c>
      <c r="E456" s="350" t="s">
        <v>178</v>
      </c>
      <c r="F456" s="524"/>
      <c r="G456" s="605"/>
      <c r="H456" s="526"/>
      <c r="I456" s="367"/>
      <c r="J456" s="310"/>
      <c r="K456" s="310"/>
      <c r="L456" s="70"/>
    </row>
    <row r="457" spans="1:12">
      <c r="A457" s="451" t="s">
        <v>471</v>
      </c>
      <c r="B457" s="274">
        <v>30</v>
      </c>
      <c r="C457" s="472">
        <v>40</v>
      </c>
      <c r="D457" s="352">
        <f>(H451*1000)/(MIN(B451,C451)*G451*100)</f>
        <v>0.10308641975308643</v>
      </c>
      <c r="E457" s="274">
        <f>F451*B448</f>
        <v>1.875</v>
      </c>
      <c r="F457" s="431" t="str">
        <f>IF(D457&lt;=E457,"vérifiée", " ")</f>
        <v>vérifiée</v>
      </c>
      <c r="G457" s="515" t="str">
        <f>IF(D457&lt;=E457," ", "non vérifiée")</f>
        <v xml:space="preserve"> </v>
      </c>
      <c r="H457" s="516"/>
      <c r="I457" s="367"/>
      <c r="J457" s="310"/>
      <c r="K457" s="310"/>
      <c r="L457" s="70"/>
    </row>
    <row r="458" spans="1:12">
      <c r="A458" s="451" t="s">
        <v>472</v>
      </c>
      <c r="B458" s="274">
        <v>30</v>
      </c>
      <c r="C458" s="502">
        <v>40</v>
      </c>
      <c r="D458" s="352">
        <f>(H452*1000)/(MIN(B452,C452)*G452*100)</f>
        <v>0.17864197530864198</v>
      </c>
      <c r="E458" s="274">
        <f>F452*B448</f>
        <v>1.875</v>
      </c>
      <c r="F458" s="431" t="str">
        <f>IF(D458&lt;=E458,"vérifiée", " ")</f>
        <v>vérifiée</v>
      </c>
      <c r="G458" s="515" t="str">
        <f>IF(D458&lt;=E458," ", "non vérifiée")</f>
        <v xml:space="preserve"> </v>
      </c>
      <c r="H458" s="516"/>
      <c r="I458" s="367"/>
      <c r="J458" s="310"/>
      <c r="K458" s="310"/>
      <c r="L458" s="70"/>
    </row>
    <row r="459" spans="1:12">
      <c r="A459" s="451" t="s">
        <v>473</v>
      </c>
      <c r="B459" s="274">
        <v>30</v>
      </c>
      <c r="C459" s="502">
        <v>40</v>
      </c>
      <c r="D459" s="352">
        <f>(H453*1000)/(MIN(B453,C453)*G453*100)</f>
        <v>0.23592592592592593</v>
      </c>
      <c r="E459" s="274">
        <f>F453*B448</f>
        <v>1.875</v>
      </c>
      <c r="F459" s="431" t="str">
        <f>IF(D459&lt;=E459,"vérifiée", " ")</f>
        <v>vérifiée</v>
      </c>
      <c r="G459" s="515" t="str">
        <f>IF(D459&lt;=E459," ", "non vérifiée")</f>
        <v xml:space="preserve"> </v>
      </c>
      <c r="H459" s="516"/>
      <c r="I459" s="367"/>
      <c r="J459" s="310"/>
      <c r="K459" s="310"/>
      <c r="L459" s="70"/>
    </row>
    <row r="460" spans="1:12">
      <c r="A460" s="451" t="s">
        <v>473</v>
      </c>
      <c r="B460" s="487">
        <v>30</v>
      </c>
      <c r="C460" s="502">
        <v>40</v>
      </c>
      <c r="D460" s="352">
        <f>(H454*1000)/(MIN(B454,C454)*G454*100)</f>
        <v>0.14864197530864198</v>
      </c>
      <c r="E460" s="496">
        <f>F454*B448</f>
        <v>1.875</v>
      </c>
      <c r="F460" s="431" t="str">
        <f>IF(D460&lt;=E460,"vérifiée", " ")</f>
        <v>vérifiée</v>
      </c>
      <c r="G460" s="515" t="str">
        <f>IF(D460&lt;=E460," ", "non vérifiée")</f>
        <v xml:space="preserve"> </v>
      </c>
      <c r="H460" s="516"/>
      <c r="I460" s="310"/>
      <c r="J460" s="310"/>
      <c r="K460" s="310"/>
      <c r="L460" s="70"/>
    </row>
    <row r="461" spans="1:12" s="76" customFormat="1">
      <c r="A461" s="433" t="s">
        <v>752</v>
      </c>
      <c r="B461" s="362"/>
      <c r="C461" s="362"/>
      <c r="D461" s="310"/>
      <c r="E461" s="310"/>
      <c r="F461" s="362"/>
      <c r="G461" s="310"/>
      <c r="H461" s="310"/>
      <c r="I461" s="310"/>
      <c r="J461" s="353"/>
      <c r="K461" s="310"/>
      <c r="L461" s="70"/>
    </row>
    <row r="462" spans="1:12">
      <c r="A462" s="368" t="s">
        <v>179</v>
      </c>
      <c r="B462" s="362"/>
      <c r="C462" s="362"/>
      <c r="D462" s="310"/>
      <c r="E462" s="310"/>
      <c r="F462" s="362"/>
      <c r="G462" s="310"/>
      <c r="H462" s="310"/>
      <c r="I462" s="310"/>
      <c r="J462" s="353"/>
      <c r="K462" s="310"/>
      <c r="L462" s="70"/>
    </row>
    <row r="463" spans="1:12" s="76" customFormat="1">
      <c r="A463" s="310" t="s">
        <v>180</v>
      </c>
      <c r="B463" s="362"/>
      <c r="C463" s="362"/>
      <c r="D463" s="310"/>
      <c r="E463" s="310"/>
      <c r="F463" s="362"/>
      <c r="G463" s="310"/>
      <c r="H463" s="310"/>
      <c r="I463" s="310"/>
      <c r="J463" s="353"/>
      <c r="K463" s="310"/>
      <c r="L463" s="70"/>
    </row>
    <row r="464" spans="1:12">
      <c r="A464" s="368" t="s">
        <v>165</v>
      </c>
      <c r="B464" s="362"/>
      <c r="C464" s="362"/>
      <c r="D464" s="310"/>
      <c r="E464" s="310"/>
      <c r="F464" s="362"/>
      <c r="G464" s="310"/>
      <c r="H464" s="310"/>
      <c r="I464" s="310"/>
      <c r="J464" s="353"/>
      <c r="K464" s="310"/>
      <c r="L464" s="70"/>
    </row>
    <row r="465" spans="1:19">
      <c r="A465" s="310"/>
      <c r="B465" s="305" t="s">
        <v>745</v>
      </c>
      <c r="C465" s="362"/>
      <c r="D465" s="310"/>
      <c r="E465" s="310"/>
      <c r="F465" s="362"/>
      <c r="G465" s="310"/>
      <c r="H465" s="310"/>
      <c r="I465" s="310"/>
      <c r="J465" s="310"/>
      <c r="K465" s="310"/>
      <c r="L465" s="70"/>
    </row>
    <row r="466" spans="1:19">
      <c r="A466" s="310"/>
      <c r="B466" s="305" t="s">
        <v>746</v>
      </c>
      <c r="C466" s="362"/>
      <c r="D466" s="310"/>
      <c r="E466" s="310"/>
      <c r="F466" s="362"/>
      <c r="G466" s="310"/>
      <c r="H466" s="310"/>
      <c r="I466" s="310"/>
      <c r="J466" s="310"/>
      <c r="K466" s="310"/>
      <c r="L466" s="70"/>
    </row>
    <row r="467" spans="1:19">
      <c r="A467" s="310"/>
      <c r="B467" s="305" t="s">
        <v>747</v>
      </c>
      <c r="C467" s="362"/>
      <c r="D467" s="310"/>
      <c r="E467" s="310"/>
      <c r="F467" s="362"/>
      <c r="G467" s="310"/>
      <c r="H467" s="310"/>
      <c r="I467" s="310"/>
      <c r="J467" s="310"/>
      <c r="K467" s="310"/>
      <c r="L467" s="70"/>
    </row>
    <row r="468" spans="1:19">
      <c r="A468" s="310"/>
      <c r="B468" s="305" t="s">
        <v>748</v>
      </c>
      <c r="C468" s="362"/>
      <c r="D468" s="310"/>
      <c r="E468" s="310"/>
      <c r="F468" s="362"/>
      <c r="G468" s="310"/>
      <c r="H468" s="310"/>
      <c r="I468" s="310"/>
      <c r="J468" s="367"/>
      <c r="K468" s="310"/>
      <c r="L468" s="70"/>
    </row>
    <row r="469" spans="1:19">
      <c r="A469" s="310"/>
      <c r="B469" s="362"/>
      <c r="C469" s="362"/>
      <c r="D469" s="310"/>
      <c r="E469" s="310"/>
      <c r="F469" s="362"/>
      <c r="G469" s="310"/>
      <c r="H469" s="310"/>
      <c r="I469" s="310"/>
      <c r="J469" s="378"/>
      <c r="K469" s="310"/>
      <c r="L469" s="70"/>
    </row>
    <row r="470" spans="1:19">
      <c r="A470" s="433" t="s">
        <v>753</v>
      </c>
      <c r="B470" s="362"/>
      <c r="C470" s="362"/>
      <c r="D470" s="310"/>
      <c r="E470" s="310"/>
      <c r="F470" s="362"/>
      <c r="G470" s="310"/>
      <c r="H470" s="310"/>
      <c r="I470" s="310"/>
      <c r="J470" s="378"/>
      <c r="K470" s="310"/>
      <c r="L470" s="70"/>
    </row>
    <row r="471" spans="1:19">
      <c r="A471" s="368" t="s">
        <v>181</v>
      </c>
      <c r="B471" s="362"/>
      <c r="C471" s="362"/>
      <c r="D471" s="310"/>
      <c r="E471" s="310"/>
      <c r="F471" s="362"/>
      <c r="G471" s="310"/>
      <c r="H471" s="310"/>
      <c r="I471" s="310"/>
      <c r="J471" s="378"/>
      <c r="K471" s="310"/>
      <c r="L471" s="353"/>
      <c r="M471" s="57"/>
      <c r="N471" s="53"/>
    </row>
    <row r="472" spans="1:19">
      <c r="A472" s="439"/>
      <c r="B472" s="385"/>
      <c r="C472" s="386"/>
      <c r="D472" s="386"/>
      <c r="E472" s="386"/>
      <c r="F472" s="386"/>
      <c r="G472" s="386"/>
      <c r="H472" s="386"/>
      <c r="I472" s="378"/>
      <c r="J472" s="378"/>
      <c r="K472" s="310"/>
      <c r="L472" s="353"/>
      <c r="M472" s="57"/>
      <c r="N472" s="53"/>
    </row>
    <row r="473" spans="1:19">
      <c r="A473" s="527" t="s">
        <v>127</v>
      </c>
      <c r="B473" s="531" t="s">
        <v>182</v>
      </c>
      <c r="C473" s="588" t="s">
        <v>183</v>
      </c>
      <c r="D473" s="595"/>
      <c r="E473" s="588" t="s">
        <v>184</v>
      </c>
      <c r="F473" s="595"/>
      <c r="G473" s="588" t="s">
        <v>185</v>
      </c>
      <c r="H473" s="595"/>
      <c r="I473" s="539" t="s">
        <v>186</v>
      </c>
      <c r="J473" s="378"/>
      <c r="K473" s="310"/>
      <c r="L473" s="70"/>
    </row>
    <row r="474" spans="1:19">
      <c r="A474" s="538"/>
      <c r="B474" s="532"/>
      <c r="C474" s="387"/>
      <c r="D474" s="387"/>
      <c r="E474" s="387"/>
      <c r="F474" s="387"/>
      <c r="G474" s="387"/>
      <c r="H474" s="387"/>
      <c r="I474" s="540"/>
      <c r="J474" s="378"/>
      <c r="K474" s="310"/>
      <c r="L474" s="70"/>
      <c r="S474" s="49"/>
    </row>
    <row r="475" spans="1:19" s="53" customFormat="1">
      <c r="A475" s="528"/>
      <c r="B475" s="533"/>
      <c r="C475" s="435" t="s">
        <v>187</v>
      </c>
      <c r="D475" s="435" t="s">
        <v>187</v>
      </c>
      <c r="E475" s="435" t="s">
        <v>187</v>
      </c>
      <c r="F475" s="435" t="s">
        <v>187</v>
      </c>
      <c r="G475" s="435" t="s">
        <v>187</v>
      </c>
      <c r="H475" s="435" t="s">
        <v>187</v>
      </c>
      <c r="I475" s="435" t="s">
        <v>152</v>
      </c>
      <c r="J475" s="378"/>
      <c r="K475" s="310"/>
      <c r="L475" s="379"/>
      <c r="S475" s="58"/>
    </row>
    <row r="476" spans="1:19" s="53" customFormat="1">
      <c r="A476" s="507" t="s">
        <v>253</v>
      </c>
      <c r="B476" s="358" t="s">
        <v>805</v>
      </c>
      <c r="C476" s="274">
        <v>28.986999999999998</v>
      </c>
      <c r="D476" s="274">
        <v>-40.765000000000001</v>
      </c>
      <c r="E476" s="274">
        <v>20.986999999999998</v>
      </c>
      <c r="F476" s="274">
        <v>-29.515000000000001</v>
      </c>
      <c r="G476" s="274">
        <v>38.840000000000003</v>
      </c>
      <c r="H476" s="274">
        <v>-56.115000000000002</v>
      </c>
      <c r="I476" s="274">
        <v>71.58</v>
      </c>
      <c r="J476" s="378"/>
      <c r="K476" s="310"/>
      <c r="L476" s="439"/>
      <c r="M476" s="69"/>
      <c r="N476" s="69"/>
      <c r="O476" s="58"/>
      <c r="P476" s="69"/>
      <c r="Q476" s="592"/>
      <c r="R476" s="592"/>
      <c r="S476" s="58"/>
    </row>
    <row r="477" spans="1:19" s="53" customFormat="1">
      <c r="A477" s="508"/>
      <c r="B477" s="358" t="s">
        <v>188</v>
      </c>
      <c r="C477" s="274">
        <v>13.195</v>
      </c>
      <c r="D477" s="274">
        <v>-12.199</v>
      </c>
      <c r="E477" s="274">
        <v>6.2619999999999996</v>
      </c>
      <c r="F477" s="274">
        <v>-8.9049999999999994</v>
      </c>
      <c r="G477" s="274">
        <v>46.731000000000002</v>
      </c>
      <c r="H477" s="274">
        <v>-47.335000000000001</v>
      </c>
      <c r="I477" s="274">
        <v>24.57</v>
      </c>
      <c r="J477" s="378"/>
      <c r="K477" s="310"/>
      <c r="L477" s="379"/>
    </row>
    <row r="478" spans="1:19">
      <c r="A478" s="310"/>
      <c r="B478" s="310"/>
      <c r="C478" s="310"/>
      <c r="D478" s="310"/>
      <c r="E478" s="310"/>
      <c r="F478" s="310"/>
      <c r="G478" s="310"/>
      <c r="H478" s="310"/>
      <c r="I478" s="310"/>
      <c r="J478" s="310"/>
      <c r="K478" s="421"/>
      <c r="L478" s="70"/>
    </row>
    <row r="479" spans="1:19" ht="18.75" customHeight="1">
      <c r="A479" s="433" t="s">
        <v>754</v>
      </c>
      <c r="B479" s="362"/>
      <c r="C479" s="362"/>
      <c r="D479" s="310"/>
      <c r="E479" s="310"/>
      <c r="F479" s="362"/>
      <c r="G479" s="310"/>
      <c r="H479" s="310"/>
      <c r="I479" s="310"/>
      <c r="J479" s="310"/>
      <c r="K479" s="421"/>
      <c r="L479" s="70"/>
    </row>
    <row r="480" spans="1:19">
      <c r="A480" s="310"/>
      <c r="B480" s="388">
        <v>25</v>
      </c>
      <c r="C480" s="310" t="s">
        <v>16</v>
      </c>
      <c r="D480" s="310"/>
      <c r="E480" s="389">
        <f>0.6+(0.06*B480)</f>
        <v>2.1</v>
      </c>
      <c r="F480" s="310" t="s">
        <v>16</v>
      </c>
      <c r="G480" s="310" t="s">
        <v>189</v>
      </c>
      <c r="H480" s="310"/>
      <c r="I480" s="390"/>
      <c r="J480" s="310"/>
      <c r="K480" s="421"/>
      <c r="L480" s="70"/>
    </row>
    <row r="481" spans="1:12">
      <c r="A481" s="527" t="s">
        <v>127</v>
      </c>
      <c r="B481" s="531" t="s">
        <v>182</v>
      </c>
      <c r="C481" s="534" t="s">
        <v>157</v>
      </c>
      <c r="D481" s="535"/>
      <c r="E481" s="602"/>
      <c r="F481" s="593"/>
      <c r="G481" s="602" t="s">
        <v>438</v>
      </c>
      <c r="H481" s="602"/>
      <c r="I481" s="602"/>
      <c r="J481" s="310"/>
      <c r="K481" s="421"/>
      <c r="L481" s="70"/>
    </row>
    <row r="482" spans="1:12">
      <c r="A482" s="538"/>
      <c r="B482" s="532"/>
      <c r="C482" s="536"/>
      <c r="D482" s="537"/>
      <c r="E482" s="603"/>
      <c r="F482" s="594"/>
      <c r="G482" s="603"/>
      <c r="H482" s="603"/>
      <c r="I482" s="603"/>
      <c r="J482" s="310"/>
      <c r="K482" s="421"/>
      <c r="L482" s="70"/>
    </row>
    <row r="483" spans="1:12" s="76" customFormat="1">
      <c r="A483" s="528"/>
      <c r="B483" s="533"/>
      <c r="C483" s="430" t="s">
        <v>134</v>
      </c>
      <c r="D483" s="430" t="s">
        <v>135</v>
      </c>
      <c r="E483" s="430" t="s">
        <v>158</v>
      </c>
      <c r="F483" s="430" t="s">
        <v>158</v>
      </c>
      <c r="G483" s="430" t="s">
        <v>158</v>
      </c>
      <c r="H483" s="430" t="s">
        <v>158</v>
      </c>
      <c r="I483" s="430" t="s">
        <v>158</v>
      </c>
      <c r="J483" s="310"/>
      <c r="K483" s="310"/>
      <c r="L483" s="70"/>
    </row>
    <row r="484" spans="1:12" s="76" customFormat="1">
      <c r="A484" s="507" t="s">
        <v>253</v>
      </c>
      <c r="B484" s="358" t="s">
        <v>806</v>
      </c>
      <c r="C484" s="274">
        <v>30</v>
      </c>
      <c r="D484" s="274">
        <v>35</v>
      </c>
      <c r="E484" s="274">
        <v>3.1</v>
      </c>
      <c r="F484" s="358">
        <v>4.5999999999999996</v>
      </c>
      <c r="G484" s="358">
        <f>MAX( 0.23*C484*(0.9*D484)*(E480/400), 0.005*C484*D484 )</f>
        <v>5.25</v>
      </c>
      <c r="H484" s="274">
        <v>4.62</v>
      </c>
      <c r="I484" s="358">
        <v>4.62</v>
      </c>
      <c r="J484" s="310"/>
      <c r="K484" s="353"/>
      <c r="L484" s="70"/>
    </row>
    <row r="485" spans="1:12" s="76" customFormat="1">
      <c r="A485" s="508"/>
      <c r="B485" s="358" t="s">
        <v>188</v>
      </c>
      <c r="C485" s="274">
        <v>30</v>
      </c>
      <c r="D485" s="274">
        <v>30</v>
      </c>
      <c r="E485" s="274">
        <v>4.5</v>
      </c>
      <c r="F485" s="274">
        <v>4.5999999999999996</v>
      </c>
      <c r="G485" s="358">
        <f>MAX( 0.23*C485*(0.9*D485)*(E481/400), 0.005*C485*D485 )</f>
        <v>4.5</v>
      </c>
      <c r="H485" s="274">
        <v>4.62</v>
      </c>
      <c r="I485" s="274">
        <v>4.62</v>
      </c>
      <c r="J485" s="310"/>
      <c r="K485" s="353"/>
      <c r="L485" s="70"/>
    </row>
    <row r="486" spans="1:12" s="76" customFormat="1">
      <c r="A486" s="527" t="s">
        <v>127</v>
      </c>
      <c r="B486" s="531" t="s">
        <v>182</v>
      </c>
      <c r="C486" s="534" t="s">
        <v>157</v>
      </c>
      <c r="D486" s="535"/>
      <c r="E486" s="552" t="s">
        <v>173</v>
      </c>
      <c r="F486" s="599"/>
      <c r="G486" s="599"/>
      <c r="H486" s="553"/>
      <c r="I486" s="367"/>
      <c r="J486" s="367"/>
      <c r="K486" s="353"/>
      <c r="L486" s="70"/>
    </row>
    <row r="487" spans="1:12" s="76" customFormat="1">
      <c r="A487" s="538"/>
      <c r="B487" s="532"/>
      <c r="C487" s="536"/>
      <c r="D487" s="537"/>
      <c r="E487" s="600" t="s">
        <v>190</v>
      </c>
      <c r="F487" s="601"/>
      <c r="G487" s="600" t="s">
        <v>191</v>
      </c>
      <c r="H487" s="601"/>
      <c r="I487" s="378"/>
      <c r="J487" s="367"/>
      <c r="K487" s="353"/>
      <c r="L487" s="70"/>
    </row>
    <row r="488" spans="1:12" s="76" customFormat="1">
      <c r="A488" s="528"/>
      <c r="B488" s="533"/>
      <c r="C488" s="430" t="s">
        <v>134</v>
      </c>
      <c r="D488" s="430" t="s">
        <v>135</v>
      </c>
      <c r="E488" s="274" t="s">
        <v>192</v>
      </c>
      <c r="F488" s="358" t="s">
        <v>193</v>
      </c>
      <c r="G488" s="274" t="s">
        <v>192</v>
      </c>
      <c r="H488" s="358" t="s">
        <v>193</v>
      </c>
      <c r="I488" s="378"/>
      <c r="J488" s="310"/>
      <c r="K488" s="353"/>
      <c r="L488" s="70"/>
    </row>
    <row r="489" spans="1:12" s="76" customFormat="1">
      <c r="A489" s="507" t="s">
        <v>253</v>
      </c>
      <c r="B489" s="358" t="s">
        <v>805</v>
      </c>
      <c r="C489" s="496">
        <v>30</v>
      </c>
      <c r="D489" s="496">
        <v>35</v>
      </c>
      <c r="E489" s="391" t="s">
        <v>792</v>
      </c>
      <c r="F489" s="274" t="s">
        <v>474</v>
      </c>
      <c r="G489" s="391" t="s">
        <v>792</v>
      </c>
      <c r="H489" s="502" t="s">
        <v>474</v>
      </c>
      <c r="I489" s="378"/>
      <c r="J489" s="367"/>
      <c r="K489" s="367"/>
      <c r="L489" s="70"/>
    </row>
    <row r="490" spans="1:12" s="76" customFormat="1">
      <c r="A490" s="508"/>
      <c r="B490" s="358" t="s">
        <v>188</v>
      </c>
      <c r="C490" s="496">
        <v>30</v>
      </c>
      <c r="D490" s="496">
        <v>30</v>
      </c>
      <c r="E490" s="391" t="s">
        <v>792</v>
      </c>
      <c r="F490" s="496" t="s">
        <v>474</v>
      </c>
      <c r="G490" s="391" t="s">
        <v>792</v>
      </c>
      <c r="H490" s="496" t="s">
        <v>474</v>
      </c>
      <c r="I490" s="378"/>
      <c r="J490" s="367"/>
      <c r="K490" s="367"/>
      <c r="L490" s="70"/>
    </row>
    <row r="491" spans="1:12" s="76" customFormat="1">
      <c r="A491" s="392"/>
      <c r="B491" s="354"/>
      <c r="C491" s="353"/>
      <c r="D491" s="353"/>
      <c r="E491" s="393"/>
      <c r="F491" s="353"/>
      <c r="G491" s="393"/>
      <c r="H491" s="353"/>
      <c r="I491" s="378"/>
      <c r="J491" s="310"/>
      <c r="K491" s="310"/>
      <c r="L491" s="70"/>
    </row>
    <row r="492" spans="1:12" s="76" customFormat="1">
      <c r="A492" s="433" t="s">
        <v>755</v>
      </c>
      <c r="B492" s="362"/>
      <c r="C492" s="362"/>
      <c r="D492" s="310"/>
      <c r="E492" s="310"/>
      <c r="F492" s="362"/>
      <c r="G492" s="310"/>
      <c r="H492" s="310"/>
      <c r="I492" s="310"/>
      <c r="J492" s="310"/>
      <c r="K492" s="310"/>
      <c r="L492" s="70"/>
    </row>
    <row r="493" spans="1:12" s="76" customFormat="1" ht="18.75" customHeight="1">
      <c r="A493" s="527" t="s">
        <v>127</v>
      </c>
      <c r="B493" s="531" t="s">
        <v>182</v>
      </c>
      <c r="C493" s="534" t="s">
        <v>157</v>
      </c>
      <c r="D493" s="535"/>
      <c r="E493" s="615"/>
      <c r="F493" s="616"/>
      <c r="G493" s="611" t="s">
        <v>173</v>
      </c>
      <c r="H493" s="612"/>
      <c r="I493" s="310"/>
      <c r="J493" s="310"/>
      <c r="K493" s="310"/>
      <c r="L493" s="70"/>
    </row>
    <row r="494" spans="1:12" s="76" customFormat="1">
      <c r="A494" s="538"/>
      <c r="B494" s="532"/>
      <c r="C494" s="536"/>
      <c r="D494" s="537"/>
      <c r="E494" s="615"/>
      <c r="F494" s="616"/>
      <c r="G494" s="613"/>
      <c r="H494" s="614"/>
      <c r="I494" s="310"/>
      <c r="J494" s="310"/>
      <c r="K494" s="310"/>
      <c r="L494" s="70"/>
    </row>
    <row r="495" spans="1:12" s="76" customFormat="1">
      <c r="A495" s="528"/>
      <c r="B495" s="533"/>
      <c r="C495" s="430" t="s">
        <v>134</v>
      </c>
      <c r="D495" s="430" t="s">
        <v>135</v>
      </c>
      <c r="E495" s="350" t="s">
        <v>144</v>
      </c>
      <c r="F495" s="350" t="s">
        <v>144</v>
      </c>
      <c r="G495" s="552" t="s">
        <v>158</v>
      </c>
      <c r="H495" s="553"/>
      <c r="I495" s="310"/>
      <c r="J495" s="310"/>
      <c r="K495" s="310"/>
      <c r="L495" s="70"/>
    </row>
    <row r="496" spans="1:12" s="76" customFormat="1">
      <c r="A496" s="507" t="s">
        <v>253</v>
      </c>
      <c r="B496" s="358" t="s">
        <v>805</v>
      </c>
      <c r="C496" s="496">
        <v>30</v>
      </c>
      <c r="D496" s="496">
        <v>35</v>
      </c>
      <c r="E496" s="274">
        <v>10</v>
      </c>
      <c r="F496" s="274">
        <v>15</v>
      </c>
      <c r="G496" s="552" t="s">
        <v>194</v>
      </c>
      <c r="H496" s="553"/>
      <c r="I496" s="310"/>
      <c r="J496" s="310"/>
      <c r="K496" s="310"/>
      <c r="L496" s="70"/>
    </row>
    <row r="497" spans="1:12" s="76" customFormat="1">
      <c r="A497" s="508"/>
      <c r="B497" s="358" t="s">
        <v>188</v>
      </c>
      <c r="C497" s="496">
        <v>30</v>
      </c>
      <c r="D497" s="496">
        <v>30</v>
      </c>
      <c r="E497" s="274">
        <v>10</v>
      </c>
      <c r="F497" s="274">
        <v>15</v>
      </c>
      <c r="G497" s="552" t="s">
        <v>194</v>
      </c>
      <c r="H497" s="553"/>
      <c r="I497" s="310"/>
      <c r="J497" s="310"/>
      <c r="K497" s="310"/>
      <c r="L497" s="70"/>
    </row>
    <row r="498" spans="1:12" s="76" customFormat="1">
      <c r="A498" s="433" t="s">
        <v>756</v>
      </c>
      <c r="B498" s="362"/>
      <c r="C498" s="362"/>
      <c r="D498" s="310"/>
      <c r="E498" s="310"/>
      <c r="F498" s="362"/>
      <c r="G498" s="310"/>
      <c r="H498" s="310"/>
      <c r="I498" s="310"/>
      <c r="J498" s="310"/>
      <c r="K498" s="310"/>
      <c r="L498" s="70"/>
    </row>
    <row r="499" spans="1:12" s="76" customFormat="1">
      <c r="A499" s="368" t="s">
        <v>195</v>
      </c>
      <c r="B499" s="362"/>
      <c r="C499" s="362"/>
      <c r="D499" s="310"/>
      <c r="E499" s="310"/>
      <c r="F499" s="362"/>
      <c r="G499" s="310"/>
      <c r="H499" s="310"/>
      <c r="I499" s="369"/>
      <c r="J499" s="310"/>
      <c r="K499" s="310"/>
      <c r="L499" s="70"/>
    </row>
    <row r="500" spans="1:12" s="76" customFormat="1">
      <c r="A500" s="368" t="s">
        <v>196</v>
      </c>
      <c r="B500" s="362"/>
      <c r="C500" s="362"/>
      <c r="D500" s="310"/>
      <c r="E500" s="310"/>
      <c r="F500" s="362"/>
      <c r="G500" s="310"/>
      <c r="H500" s="310"/>
      <c r="I500" s="353"/>
      <c r="J500" s="310"/>
      <c r="K500" s="310"/>
      <c r="L500" s="70"/>
    </row>
    <row r="501" spans="1:12" s="76" customFormat="1">
      <c r="A501" s="310"/>
      <c r="B501" s="362"/>
      <c r="C501" s="366" t="s">
        <v>129</v>
      </c>
      <c r="D501" s="310"/>
      <c r="E501" s="310"/>
      <c r="F501" s="362"/>
      <c r="G501" s="310"/>
      <c r="H501" s="310"/>
      <c r="I501" s="353"/>
      <c r="J501" s="310"/>
      <c r="K501" s="310"/>
      <c r="L501" s="70"/>
    </row>
    <row r="502" spans="1:12" s="76" customFormat="1">
      <c r="A502" s="310"/>
      <c r="B502" s="362"/>
      <c r="C502" s="310"/>
      <c r="D502" s="388">
        <v>25</v>
      </c>
      <c r="E502" s="310" t="s">
        <v>16</v>
      </c>
      <c r="F502" s="362"/>
      <c r="G502" s="310"/>
      <c r="H502" s="310"/>
      <c r="I502" s="310"/>
      <c r="J502" s="310"/>
      <c r="K502" s="310"/>
      <c r="L502" s="70"/>
    </row>
    <row r="503" spans="1:12" s="76" customFormat="1">
      <c r="A503" s="527" t="s">
        <v>127</v>
      </c>
      <c r="B503" s="531" t="s">
        <v>182</v>
      </c>
      <c r="C503" s="534" t="s">
        <v>157</v>
      </c>
      <c r="D503" s="535"/>
      <c r="E503" s="539" t="s">
        <v>197</v>
      </c>
      <c r="F503" s="539"/>
      <c r="G503" s="523" t="s">
        <v>120</v>
      </c>
      <c r="H503" s="525"/>
      <c r="I503" s="367"/>
      <c r="J503" s="310"/>
      <c r="K503" s="310"/>
      <c r="L503" s="70"/>
    </row>
    <row r="504" spans="1:12" s="76" customFormat="1" ht="18.75" customHeight="1">
      <c r="A504" s="538"/>
      <c r="B504" s="532"/>
      <c r="C504" s="536"/>
      <c r="D504" s="537"/>
      <c r="E504" s="540"/>
      <c r="F504" s="540"/>
      <c r="G504" s="596"/>
      <c r="H504" s="597"/>
      <c r="I504" s="367"/>
      <c r="J504" s="310"/>
      <c r="K504" s="310"/>
      <c r="L504" s="70"/>
    </row>
    <row r="505" spans="1:12" s="76" customFormat="1">
      <c r="A505" s="528"/>
      <c r="B505" s="533"/>
      <c r="C505" s="430" t="s">
        <v>134</v>
      </c>
      <c r="D505" s="430" t="s">
        <v>135</v>
      </c>
      <c r="E505" s="435" t="s">
        <v>152</v>
      </c>
      <c r="F505" s="435" t="s">
        <v>178</v>
      </c>
      <c r="G505" s="524"/>
      <c r="H505" s="526"/>
      <c r="I505" s="310"/>
      <c r="J505" s="310"/>
      <c r="K505" s="310"/>
      <c r="L505" s="70"/>
    </row>
    <row r="506" spans="1:12" s="76" customFormat="1" ht="18.75" customHeight="1">
      <c r="A506" s="507" t="s">
        <v>253</v>
      </c>
      <c r="B506" s="358" t="s">
        <v>806</v>
      </c>
      <c r="C506" s="472">
        <v>30</v>
      </c>
      <c r="D506" s="472">
        <v>35</v>
      </c>
      <c r="E506" s="472">
        <f>I476</f>
        <v>71.58</v>
      </c>
      <c r="F506" s="352">
        <f>(E506*1000)/(C506*0.9*D506*100)</f>
        <v>0.7574603174603175</v>
      </c>
      <c r="G506" s="445" t="str">
        <f>IF(F506&lt;MIN(0.133*D502,4),"vérifiée", "" )</f>
        <v>vérifiée</v>
      </c>
      <c r="H506" s="444" t="str">
        <f>IF(F506&lt;MIN(0.13*D502,4),"", "non vérifiée" )</f>
        <v/>
      </c>
      <c r="I506" s="310"/>
      <c r="J506" s="310"/>
      <c r="K506" s="310"/>
      <c r="L506" s="70"/>
    </row>
    <row r="507" spans="1:12" s="76" customFormat="1">
      <c r="A507" s="508"/>
      <c r="B507" s="358" t="s">
        <v>188</v>
      </c>
      <c r="C507" s="472">
        <v>30</v>
      </c>
      <c r="D507" s="472">
        <v>30</v>
      </c>
      <c r="E507" s="472">
        <f>I477</f>
        <v>24.57</v>
      </c>
      <c r="F507" s="352">
        <f>(E507*1000)/(C507*0.9*D507*100)</f>
        <v>0.30333333333333334</v>
      </c>
      <c r="G507" s="445" t="str">
        <f>IF(F507&lt;MIN(0.133*D502,4),"vérifiée", "" )</f>
        <v>vérifiée</v>
      </c>
      <c r="H507" s="444" t="str">
        <f>IF(F507&lt;MIN(0.13*D502,4)," ", "non vérifiée" )</f>
        <v xml:space="preserve"> </v>
      </c>
      <c r="I507" s="310"/>
      <c r="J507" s="310"/>
      <c r="K507" s="310"/>
      <c r="L507" s="70"/>
    </row>
    <row r="508" spans="1:12" s="76" customFormat="1">
      <c r="A508" s="393"/>
      <c r="B508" s="354"/>
      <c r="C508" s="353"/>
      <c r="D508" s="353"/>
      <c r="E508" s="353"/>
      <c r="F508" s="355"/>
      <c r="G508" s="440"/>
      <c r="H508" s="441"/>
      <c r="I508" s="310"/>
      <c r="J508" s="310"/>
      <c r="K508" s="310"/>
      <c r="L508" s="70"/>
    </row>
    <row r="509" spans="1:12" s="76" customFormat="1">
      <c r="A509" s="433" t="s">
        <v>757</v>
      </c>
      <c r="B509" s="362"/>
      <c r="C509" s="362"/>
      <c r="D509" s="310"/>
      <c r="E509" s="310" t="s">
        <v>426</v>
      </c>
      <c r="F509" s="310"/>
      <c r="G509" s="310"/>
      <c r="H509" s="310"/>
      <c r="I509" s="310"/>
      <c r="J509" s="310"/>
      <c r="K509" s="310"/>
      <c r="L509" s="70"/>
    </row>
    <row r="510" spans="1:12" s="76" customFormat="1">
      <c r="A510" s="452" t="s">
        <v>424</v>
      </c>
      <c r="B510" s="394" t="s">
        <v>425</v>
      </c>
      <c r="C510" s="394"/>
      <c r="D510" s="395"/>
      <c r="E510" s="395"/>
      <c r="F510" s="362" t="s">
        <v>427</v>
      </c>
      <c r="G510" s="310"/>
      <c r="H510" s="310"/>
      <c r="I510" s="310"/>
      <c r="J510" s="310"/>
      <c r="K510" s="310"/>
      <c r="L510" s="70"/>
    </row>
    <row r="511" spans="1:12" s="76" customFormat="1">
      <c r="A511" s="439"/>
      <c r="B511" s="421" t="s">
        <v>437</v>
      </c>
      <c r="C511" s="421"/>
      <c r="D511" s="367"/>
      <c r="E511" s="386"/>
      <c r="F511" s="386"/>
      <c r="G511" s="353"/>
      <c r="H511" s="367"/>
      <c r="I511" s="310"/>
      <c r="J511" s="310"/>
      <c r="K511" s="310"/>
      <c r="L511" s="70"/>
    </row>
    <row r="512" spans="1:12" s="76" customFormat="1">
      <c r="A512" s="439"/>
      <c r="B512" s="353"/>
      <c r="C512" s="353"/>
      <c r="D512" s="361"/>
      <c r="E512" s="354"/>
      <c r="F512" s="355"/>
      <c r="G512" s="353"/>
      <c r="H512" s="353"/>
      <c r="I512" s="310"/>
      <c r="J512" s="310"/>
      <c r="K512" s="310"/>
      <c r="L512" s="70"/>
    </row>
    <row r="513" spans="1:18" s="76" customFormat="1">
      <c r="A513" s="439"/>
      <c r="B513" s="353"/>
      <c r="C513" s="353"/>
      <c r="D513" s="361"/>
      <c r="E513" s="354"/>
      <c r="F513" s="355"/>
      <c r="G513" s="353"/>
      <c r="H513" s="353"/>
      <c r="I513" s="310"/>
      <c r="J513" s="310"/>
      <c r="K513" s="310"/>
      <c r="L513" s="70"/>
    </row>
    <row r="514" spans="1:18" s="76" customFormat="1">
      <c r="A514" s="439"/>
      <c r="B514" s="353"/>
      <c r="C514" s="353"/>
      <c r="D514" s="361"/>
      <c r="E514" s="354"/>
      <c r="F514" s="355"/>
      <c r="G514" s="353"/>
      <c r="H514" s="353"/>
      <c r="I514" s="367"/>
      <c r="J514" s="310"/>
      <c r="K514" s="310"/>
      <c r="L514" s="70"/>
    </row>
    <row r="515" spans="1:18" s="76" customFormat="1">
      <c r="A515" s="439"/>
      <c r="B515" s="353"/>
      <c r="C515" s="353"/>
      <c r="D515" s="361"/>
      <c r="E515" s="354"/>
      <c r="F515" s="355"/>
      <c r="G515" s="353"/>
      <c r="H515" s="353"/>
      <c r="I515" s="367"/>
      <c r="J515" s="310"/>
      <c r="K515" s="310"/>
      <c r="L515" s="70"/>
    </row>
    <row r="516" spans="1:18" s="76" customFormat="1">
      <c r="A516" s="439"/>
      <c r="B516" s="353"/>
      <c r="C516" s="353"/>
      <c r="D516" s="361"/>
      <c r="E516" s="354"/>
      <c r="F516" s="355"/>
      <c r="G516" s="353"/>
      <c r="H516" s="353"/>
      <c r="I516" s="367"/>
      <c r="J516" s="310"/>
      <c r="K516" s="310"/>
      <c r="L516" s="70"/>
    </row>
    <row r="517" spans="1:18" s="76" customFormat="1">
      <c r="A517" s="527" t="s">
        <v>419</v>
      </c>
      <c r="B517" s="531" t="s">
        <v>420</v>
      </c>
      <c r="C517" s="534" t="s">
        <v>157</v>
      </c>
      <c r="D517" s="535"/>
      <c r="E517" s="539" t="s">
        <v>177</v>
      </c>
      <c r="F517" s="539" t="s">
        <v>726</v>
      </c>
      <c r="G517" s="507" t="s">
        <v>417</v>
      </c>
      <c r="H517" s="555" t="s">
        <v>254</v>
      </c>
      <c r="I517" s="598"/>
      <c r="J517" s="310"/>
      <c r="K517" s="310"/>
      <c r="L517" s="70"/>
    </row>
    <row r="518" spans="1:18" s="76" customFormat="1">
      <c r="A518" s="538"/>
      <c r="B518" s="532"/>
      <c r="C518" s="536"/>
      <c r="D518" s="537"/>
      <c r="E518" s="559"/>
      <c r="F518" s="540"/>
      <c r="G518" s="508"/>
      <c r="H518" s="556"/>
      <c r="I518" s="598"/>
      <c r="J518" s="310"/>
      <c r="K518" s="310"/>
      <c r="L518" s="70"/>
    </row>
    <row r="519" spans="1:18" s="76" customFormat="1">
      <c r="A519" s="528"/>
      <c r="B519" s="533"/>
      <c r="C519" s="430" t="s">
        <v>134</v>
      </c>
      <c r="D519" s="430" t="s">
        <v>135</v>
      </c>
      <c r="E519" s="365" t="s">
        <v>144</v>
      </c>
      <c r="F519" s="435" t="s">
        <v>187</v>
      </c>
      <c r="G519" s="435" t="s">
        <v>415</v>
      </c>
      <c r="H519" s="154" t="s">
        <v>416</v>
      </c>
      <c r="I519" s="399"/>
      <c r="J519" s="310"/>
      <c r="K519" s="310"/>
      <c r="L519" s="70"/>
    </row>
    <row r="520" spans="1:18">
      <c r="A520" s="507" t="s">
        <v>793</v>
      </c>
      <c r="B520" s="358" t="s">
        <v>422</v>
      </c>
      <c r="C520" s="274">
        <v>30</v>
      </c>
      <c r="D520" s="274">
        <v>35</v>
      </c>
      <c r="E520" s="365">
        <f>D520-3</f>
        <v>32</v>
      </c>
      <c r="F520" s="274">
        <f>F476</f>
        <v>-29.515000000000001</v>
      </c>
      <c r="G520" s="154">
        <f>C520/3*(E528)^3+15*H520*(E520-E528)^2</f>
        <v>43539.564276066951</v>
      </c>
      <c r="H520" s="154">
        <f>I484</f>
        <v>4.62</v>
      </c>
      <c r="I520" s="399"/>
      <c r="J520" s="310"/>
      <c r="K520" s="310"/>
      <c r="L520" s="70"/>
    </row>
    <row r="521" spans="1:18">
      <c r="A521" s="508"/>
      <c r="B521" s="358" t="s">
        <v>423</v>
      </c>
      <c r="C521" s="472">
        <v>30</v>
      </c>
      <c r="D521" s="472">
        <v>35</v>
      </c>
      <c r="E521" s="365">
        <f t="shared" ref="E521:E523" si="40">D521-3</f>
        <v>32</v>
      </c>
      <c r="F521" s="274">
        <f>E476</f>
        <v>20.986999999999998</v>
      </c>
      <c r="G521" s="154">
        <f>C521/3*(E529)^3+15*H521*(E521-E529)^2</f>
        <v>43539.564276066951</v>
      </c>
      <c r="H521" s="154">
        <f>H484</f>
        <v>4.62</v>
      </c>
      <c r="I521" s="399"/>
      <c r="J521" s="310"/>
      <c r="K521" s="310"/>
      <c r="L521" s="70"/>
      <c r="M521" s="34"/>
      <c r="N521" s="34"/>
      <c r="Q521" s="34"/>
    </row>
    <row r="522" spans="1:18">
      <c r="A522" s="557" t="s">
        <v>421</v>
      </c>
      <c r="B522" s="358" t="s">
        <v>422</v>
      </c>
      <c r="C522" s="274">
        <v>30</v>
      </c>
      <c r="D522" s="274">
        <v>30</v>
      </c>
      <c r="E522" s="365">
        <f t="shared" si="40"/>
        <v>27</v>
      </c>
      <c r="F522" s="274">
        <f>F477</f>
        <v>-8.9049999999999994</v>
      </c>
      <c r="G522" s="154">
        <f>C522/3*(E530)^3+15*H522*(E522-E530)^2</f>
        <v>29740.114753418595</v>
      </c>
      <c r="H522" s="154">
        <f>I485</f>
        <v>4.62</v>
      </c>
      <c r="I522" s="399"/>
      <c r="J522" s="310"/>
      <c r="K522" s="310"/>
      <c r="L522" s="70"/>
    </row>
    <row r="523" spans="1:18">
      <c r="A523" s="558"/>
      <c r="B523" s="358" t="s">
        <v>423</v>
      </c>
      <c r="C523" s="274">
        <v>30</v>
      </c>
      <c r="D523" s="274">
        <v>30</v>
      </c>
      <c r="E523" s="365">
        <f t="shared" si="40"/>
        <v>27</v>
      </c>
      <c r="F523" s="274">
        <f>E477</f>
        <v>6.2619999999999996</v>
      </c>
      <c r="G523" s="154">
        <f>C523/3*(E531)^3+15*H523*(E523-E531)^2</f>
        <v>29740.114753418595</v>
      </c>
      <c r="H523" s="154">
        <f>H485</f>
        <v>4.62</v>
      </c>
      <c r="I523" s="399"/>
      <c r="J523" s="310"/>
      <c r="K523" s="310"/>
      <c r="L523" s="70"/>
    </row>
    <row r="524" spans="1:18">
      <c r="A524" s="439"/>
      <c r="B524" s="353"/>
      <c r="C524" s="353"/>
      <c r="D524" s="361"/>
      <c r="E524" s="354"/>
      <c r="F524" s="355"/>
      <c r="G524" s="353"/>
      <c r="H524" s="353"/>
      <c r="I524" s="310"/>
      <c r="J524" s="310"/>
      <c r="K524" s="310"/>
      <c r="L524" s="70"/>
    </row>
    <row r="525" spans="1:18">
      <c r="A525" s="527" t="s">
        <v>419</v>
      </c>
      <c r="B525" s="531" t="s">
        <v>420</v>
      </c>
      <c r="C525" s="534" t="s">
        <v>157</v>
      </c>
      <c r="D525" s="535"/>
      <c r="E525" s="539" t="s">
        <v>418</v>
      </c>
      <c r="F525" s="539" t="s">
        <v>414</v>
      </c>
      <c r="G525" s="539" t="s">
        <v>414</v>
      </c>
      <c r="H525" s="539" t="s">
        <v>120</v>
      </c>
      <c r="I525" s="310"/>
      <c r="J525" s="310"/>
      <c r="K525" s="310"/>
      <c r="L525" s="70"/>
    </row>
    <row r="526" spans="1:18">
      <c r="A526" s="538"/>
      <c r="B526" s="532"/>
      <c r="C526" s="536"/>
      <c r="D526" s="537"/>
      <c r="E526" s="540"/>
      <c r="F526" s="559"/>
      <c r="G526" s="540"/>
      <c r="H526" s="559"/>
      <c r="I526" s="310"/>
      <c r="J526" s="310"/>
      <c r="K526" s="310"/>
      <c r="L526" s="70"/>
    </row>
    <row r="527" spans="1:18">
      <c r="A527" s="528"/>
      <c r="B527" s="533"/>
      <c r="C527" s="430" t="s">
        <v>134</v>
      </c>
      <c r="D527" s="430" t="s">
        <v>135</v>
      </c>
      <c r="E527" s="365" t="s">
        <v>144</v>
      </c>
      <c r="F527" s="274" t="s">
        <v>178</v>
      </c>
      <c r="G527" s="350" t="s">
        <v>178</v>
      </c>
      <c r="H527" s="540"/>
      <c r="I527" s="310"/>
      <c r="J527" s="310"/>
      <c r="K527" s="310"/>
      <c r="L527" s="426"/>
      <c r="M527" s="34"/>
      <c r="N527" s="34"/>
    </row>
    <row r="528" spans="1:18">
      <c r="A528" s="507" t="s">
        <v>807</v>
      </c>
      <c r="B528" s="358" t="s">
        <v>422</v>
      </c>
      <c r="C528" s="496">
        <v>30</v>
      </c>
      <c r="D528" s="502">
        <v>35</v>
      </c>
      <c r="E528" s="396">
        <f>(-15*H520+SQRT((15*H520)^2+30*C528*H520*E520))/C520</f>
        <v>10.06643325033509</v>
      </c>
      <c r="F528" s="453">
        <f>(F520*E528/G520)*10</f>
        <v>-6.823926291493862E-2</v>
      </c>
      <c r="G528" s="274">
        <v>15</v>
      </c>
      <c r="H528" s="430" t="str">
        <f>IF(F528&lt;=G528, "Vérifié", "non vérifiée")</f>
        <v>Vérifié</v>
      </c>
      <c r="I528" s="310"/>
      <c r="J528" s="310"/>
      <c r="K528" s="310"/>
      <c r="L528" s="608"/>
      <c r="M528" s="607"/>
      <c r="N528" s="607"/>
      <c r="O528" s="71"/>
      <c r="P528" s="58"/>
      <c r="Q528" s="592"/>
      <c r="R528" s="592"/>
    </row>
    <row r="529" spans="1:18">
      <c r="A529" s="508"/>
      <c r="B529" s="358" t="s">
        <v>423</v>
      </c>
      <c r="C529" s="496">
        <v>30</v>
      </c>
      <c r="D529" s="502">
        <v>35</v>
      </c>
      <c r="E529" s="396">
        <f>(-15*H521+SQRT((15*H521)^2+30*C529*H521*E521))/C521</f>
        <v>10.06643325033509</v>
      </c>
      <c r="F529" s="453">
        <f>(F521*E529/G521)*10</f>
        <v>4.8522358488762213E-2</v>
      </c>
      <c r="G529" s="274">
        <v>15</v>
      </c>
      <c r="H529" s="430" t="str">
        <f>IF(F529&lt;=G529, "Vérifié", "non vérifiée")</f>
        <v>Vérifié</v>
      </c>
      <c r="I529" s="310"/>
      <c r="J529" s="310"/>
      <c r="K529" s="310"/>
      <c r="L529" s="608"/>
      <c r="M529" s="55"/>
      <c r="N529" s="55"/>
      <c r="O529" s="71"/>
      <c r="P529" s="71"/>
      <c r="Q529" s="606"/>
      <c r="R529" s="606"/>
    </row>
    <row r="530" spans="1:18">
      <c r="A530" s="557" t="s">
        <v>421</v>
      </c>
      <c r="B530" s="358" t="s">
        <v>422</v>
      </c>
      <c r="C530" s="472">
        <v>30</v>
      </c>
      <c r="D530" s="502">
        <v>30</v>
      </c>
      <c r="E530" s="396">
        <f>(-15*H522+SQRT((15*H522)^2+30*C530*H522*E522))/C522</f>
        <v>9.0950909685105099</v>
      </c>
      <c r="F530" s="453">
        <f>(F522*E530*10/G522)</f>
        <v>-2.7233178400993284E-2</v>
      </c>
      <c r="G530" s="274">
        <v>15</v>
      </c>
      <c r="H530" s="495" t="str">
        <f t="shared" ref="H530" si="41">IF(F530&lt;=G530, "Vérifié", "non vérifiée")</f>
        <v>Vérifié</v>
      </c>
      <c r="I530" s="310"/>
      <c r="J530" s="310"/>
      <c r="K530" s="310"/>
      <c r="L530" s="439"/>
      <c r="M530" s="68"/>
      <c r="N530" s="68"/>
      <c r="O530" s="58"/>
      <c r="P530" s="68"/>
      <c r="Q530" s="592"/>
      <c r="R530" s="592"/>
    </row>
    <row r="531" spans="1:18">
      <c r="A531" s="558"/>
      <c r="B531" s="358" t="s">
        <v>423</v>
      </c>
      <c r="C531" s="472">
        <v>30</v>
      </c>
      <c r="D531" s="502">
        <v>30</v>
      </c>
      <c r="E531" s="396">
        <f>(-15*H523+SQRT((15*H523)^2+30*C531*H523*E523))/C523</f>
        <v>9.0950909685105099</v>
      </c>
      <c r="F531" s="453">
        <f>(F523*E531/G523)*10</f>
        <v>1.915038328433688E-2</v>
      </c>
      <c r="G531" s="274">
        <v>15</v>
      </c>
      <c r="H531" s="430" t="str">
        <f>IF(F531&lt;=G531, "Vérifié", "non vérifiée")</f>
        <v>Vérifié</v>
      </c>
      <c r="I531" s="310"/>
      <c r="J531" s="310"/>
      <c r="K531" s="310"/>
      <c r="L531" s="439"/>
      <c r="M531" s="68"/>
      <c r="N531" s="68"/>
      <c r="O531" s="58"/>
      <c r="P531" s="68"/>
      <c r="Q531" s="592"/>
      <c r="R531" s="592"/>
    </row>
    <row r="532" spans="1:18">
      <c r="A532" s="454"/>
      <c r="B532" s="354"/>
      <c r="C532" s="353"/>
      <c r="D532" s="353"/>
      <c r="E532" s="353"/>
      <c r="F532" s="355"/>
      <c r="G532" s="440"/>
      <c r="H532" s="441"/>
      <c r="I532" s="310"/>
      <c r="J532" s="310"/>
      <c r="K532" s="310"/>
      <c r="L532" s="439"/>
      <c r="M532" s="68"/>
      <c r="N532" s="68"/>
      <c r="O532" s="58"/>
      <c r="P532" s="68"/>
      <c r="Q532" s="592"/>
      <c r="R532" s="592"/>
    </row>
    <row r="533" spans="1:18">
      <c r="A533" s="452" t="s">
        <v>428</v>
      </c>
      <c r="B533" s="394" t="s">
        <v>429</v>
      </c>
      <c r="C533" s="394"/>
      <c r="D533" s="395"/>
      <c r="E533" s="395"/>
      <c r="F533" s="362"/>
      <c r="G533" s="310"/>
      <c r="H533" s="441"/>
      <c r="I533" s="310"/>
      <c r="J533" s="310"/>
      <c r="K533" s="310"/>
      <c r="L533" s="439"/>
      <c r="M533" s="68"/>
      <c r="N533" s="68"/>
      <c r="O533" s="58"/>
      <c r="P533" s="68"/>
      <c r="Q533" s="592"/>
      <c r="R533" s="592"/>
    </row>
    <row r="534" spans="1:18">
      <c r="A534" s="455"/>
      <c r="B534" s="362" t="s">
        <v>430</v>
      </c>
      <c r="C534" s="362"/>
      <c r="D534" s="310"/>
      <c r="E534" s="310"/>
      <c r="F534" s="362"/>
      <c r="G534" s="310"/>
      <c r="H534" s="441"/>
      <c r="I534" s="310"/>
      <c r="J534" s="310"/>
      <c r="K534" s="310"/>
      <c r="L534" s="456"/>
      <c r="M534" s="68"/>
      <c r="N534" s="68"/>
      <c r="O534" s="58"/>
      <c r="P534" s="68"/>
      <c r="Q534" s="592"/>
      <c r="R534" s="592"/>
    </row>
    <row r="535" spans="1:18" ht="19.5">
      <c r="A535" s="455"/>
      <c r="B535" s="394" t="s">
        <v>758</v>
      </c>
      <c r="C535" s="394"/>
      <c r="D535" s="395"/>
      <c r="E535" s="310">
        <v>1</v>
      </c>
      <c r="F535" s="362"/>
      <c r="G535" s="310"/>
      <c r="H535" s="441"/>
      <c r="I535" s="310"/>
      <c r="J535" s="310"/>
      <c r="K535" s="369"/>
      <c r="L535" s="70"/>
    </row>
    <row r="536" spans="1:18" ht="19.5">
      <c r="A536" s="455"/>
      <c r="B536" s="394" t="s">
        <v>759</v>
      </c>
      <c r="C536" s="394"/>
      <c r="D536" s="395"/>
      <c r="E536" s="310">
        <v>2</v>
      </c>
      <c r="F536" s="362" t="s">
        <v>727</v>
      </c>
      <c r="G536" s="310" t="s">
        <v>436</v>
      </c>
      <c r="H536" s="441"/>
      <c r="I536" s="310"/>
      <c r="J536" s="310"/>
      <c r="K536" s="369"/>
      <c r="L536" s="70"/>
    </row>
    <row r="537" spans="1:18" ht="19.5">
      <c r="A537" s="455"/>
      <c r="B537" s="394" t="s">
        <v>760</v>
      </c>
      <c r="C537" s="394"/>
      <c r="D537" s="395"/>
      <c r="E537" s="310">
        <v>3</v>
      </c>
      <c r="F537" s="362"/>
      <c r="G537" s="310"/>
      <c r="H537" s="441"/>
      <c r="I537" s="310"/>
      <c r="J537" s="310"/>
      <c r="K537" s="369"/>
      <c r="L537" s="369"/>
      <c r="M537" s="56"/>
      <c r="N537" s="56"/>
      <c r="O537" s="56"/>
      <c r="P537" s="56"/>
    </row>
    <row r="538" spans="1:18">
      <c r="A538" s="455"/>
      <c r="B538" s="362"/>
      <c r="C538" s="362"/>
      <c r="D538" s="310"/>
      <c r="E538" s="310"/>
      <c r="F538" s="362"/>
      <c r="G538" s="310"/>
      <c r="H538" s="441"/>
      <c r="I538" s="310"/>
      <c r="J538" s="310"/>
      <c r="K538" s="369"/>
      <c r="L538" s="369"/>
      <c r="M538" s="56"/>
      <c r="N538" s="56"/>
      <c r="O538" s="56"/>
      <c r="P538" s="56"/>
    </row>
    <row r="539" spans="1:18">
      <c r="A539" s="527" t="s">
        <v>419</v>
      </c>
      <c r="B539" s="531" t="s">
        <v>728</v>
      </c>
      <c r="C539" s="555" t="s">
        <v>729</v>
      </c>
      <c r="D539" s="555" t="s">
        <v>431</v>
      </c>
      <c r="E539" s="539" t="s">
        <v>177</v>
      </c>
      <c r="F539" s="539" t="s">
        <v>730</v>
      </c>
      <c r="G539" s="539" t="s">
        <v>731</v>
      </c>
      <c r="H539" s="539" t="s">
        <v>732</v>
      </c>
      <c r="I539" s="397"/>
      <c r="J539" s="310"/>
      <c r="K539" s="369"/>
      <c r="L539" s="70"/>
    </row>
    <row r="540" spans="1:18">
      <c r="A540" s="538"/>
      <c r="B540" s="533"/>
      <c r="C540" s="556"/>
      <c r="D540" s="556"/>
      <c r="E540" s="540"/>
      <c r="F540" s="559"/>
      <c r="G540" s="540"/>
      <c r="H540" s="540"/>
      <c r="I540" s="397"/>
      <c r="J540" s="310"/>
      <c r="K540" s="369"/>
      <c r="L540" s="70"/>
    </row>
    <row r="541" spans="1:18">
      <c r="A541" s="528"/>
      <c r="B541" s="398" t="s">
        <v>145</v>
      </c>
      <c r="C541" s="430" t="s">
        <v>145</v>
      </c>
      <c r="D541" s="430" t="s">
        <v>145</v>
      </c>
      <c r="E541" s="365" t="s">
        <v>145</v>
      </c>
      <c r="F541" s="365" t="s">
        <v>416</v>
      </c>
      <c r="G541" s="435" t="s">
        <v>187</v>
      </c>
      <c r="H541" s="435" t="s">
        <v>435</v>
      </c>
      <c r="I541" s="399"/>
      <c r="J541" s="310"/>
      <c r="K541" s="369"/>
      <c r="L541" s="70"/>
    </row>
    <row r="542" spans="1:18">
      <c r="A542" s="500" t="s">
        <v>807</v>
      </c>
      <c r="B542" s="274">
        <v>35</v>
      </c>
      <c r="C542" s="274">
        <v>30</v>
      </c>
      <c r="D542" s="274">
        <v>428</v>
      </c>
      <c r="E542" s="365">
        <f>B542-3</f>
        <v>32</v>
      </c>
      <c r="F542" s="365">
        <v>12.32</v>
      </c>
      <c r="G542" s="274">
        <f>H542*0.75</f>
        <v>6.0107250000000008</v>
      </c>
      <c r="H542" s="154">
        <f>D542*D542*3.5*0.0001/8</f>
        <v>8.0143000000000004</v>
      </c>
      <c r="I542" s="399"/>
      <c r="J542" s="310"/>
      <c r="K542" s="369"/>
      <c r="L542" s="70"/>
    </row>
    <row r="543" spans="1:18">
      <c r="A543" s="480" t="s">
        <v>421</v>
      </c>
      <c r="B543" s="274">
        <v>30</v>
      </c>
      <c r="C543" s="274">
        <v>30</v>
      </c>
      <c r="D543" s="274">
        <v>410</v>
      </c>
      <c r="E543" s="365">
        <f t="shared" ref="E543" si="42">B543-3</f>
        <v>27</v>
      </c>
      <c r="F543" s="365">
        <v>9.24</v>
      </c>
      <c r="G543" s="472">
        <f>H543*0.75</f>
        <v>5.5157812499999999</v>
      </c>
      <c r="H543" s="154">
        <f>D543*D543*3.5*0.0001/8</f>
        <v>7.3543750000000001</v>
      </c>
      <c r="I543" s="399"/>
      <c r="J543" s="310"/>
      <c r="K543" s="369"/>
      <c r="L543" s="70"/>
    </row>
    <row r="544" spans="1:18">
      <c r="A544" s="392"/>
      <c r="B544" s="354"/>
      <c r="C544" s="353"/>
      <c r="D544" s="353"/>
      <c r="E544" s="400"/>
      <c r="F544" s="353"/>
      <c r="G544" s="355"/>
      <c r="H544" s="401"/>
      <c r="I544" s="310"/>
      <c r="J544" s="310"/>
      <c r="K544" s="369"/>
      <c r="L544" s="70"/>
    </row>
    <row r="545" spans="1:17">
      <c r="A545" s="527" t="s">
        <v>419</v>
      </c>
      <c r="B545" s="531" t="s">
        <v>733</v>
      </c>
      <c r="C545" s="555" t="s">
        <v>734</v>
      </c>
      <c r="D545" s="555" t="s">
        <v>735</v>
      </c>
      <c r="E545" s="539" t="s">
        <v>432</v>
      </c>
      <c r="F545" s="539" t="s">
        <v>434</v>
      </c>
      <c r="G545" s="507">
        <v>1</v>
      </c>
      <c r="H545" s="507">
        <v>2</v>
      </c>
      <c r="I545" s="507">
        <v>3</v>
      </c>
      <c r="J545" s="310"/>
      <c r="K545" s="369"/>
      <c r="L545" s="70"/>
    </row>
    <row r="546" spans="1:17">
      <c r="A546" s="538"/>
      <c r="B546" s="533"/>
      <c r="C546" s="556"/>
      <c r="D546" s="556"/>
      <c r="E546" s="559"/>
      <c r="F546" s="540"/>
      <c r="G546" s="508"/>
      <c r="H546" s="508"/>
      <c r="I546" s="508"/>
      <c r="J546" s="310"/>
      <c r="K546" s="369"/>
      <c r="L546" s="70"/>
    </row>
    <row r="547" spans="1:17">
      <c r="A547" s="528"/>
      <c r="B547" s="402"/>
      <c r="C547" s="430"/>
      <c r="D547" s="430"/>
      <c r="E547" s="365" t="s">
        <v>433</v>
      </c>
      <c r="F547" s="435"/>
      <c r="G547" s="435"/>
      <c r="H547" s="154"/>
      <c r="I547" s="387"/>
      <c r="J547" s="310"/>
      <c r="K547" s="369"/>
      <c r="L547" s="70"/>
    </row>
    <row r="548" spans="1:17">
      <c r="A548" s="500" t="s">
        <v>807</v>
      </c>
      <c r="B548" s="358">
        <f>+B542/D542</f>
        <v>8.1775700934579434E-2</v>
      </c>
      <c r="C548" s="154">
        <f>G542/(H542*10)</f>
        <v>7.5000000000000011E-2</v>
      </c>
      <c r="D548" s="403">
        <f>F542/(C542*E542)</f>
        <v>1.2833333333333334E-2</v>
      </c>
      <c r="E548" s="472">
        <v>400</v>
      </c>
      <c r="F548" s="274">
        <f>4.2/E548</f>
        <v>1.0500000000000001E-2</v>
      </c>
      <c r="G548" s="404" t="str">
        <f>IF(B548&gt;=1/16,"Vérifié","non Vérifié")</f>
        <v>Vérifié</v>
      </c>
      <c r="H548" s="404" t="str">
        <f>IF(B548&gt;=C548,"Vérifié","non Vérifié")</f>
        <v>Vérifié</v>
      </c>
      <c r="I548" s="479" t="str">
        <f>IF(D548&lt;=F548,"Vérifié","non Vérifié")</f>
        <v>non Vérifié</v>
      </c>
      <c r="J548" s="310"/>
      <c r="K548" s="369"/>
      <c r="L548" s="70"/>
    </row>
    <row r="549" spans="1:17">
      <c r="A549" s="480" t="s">
        <v>421</v>
      </c>
      <c r="B549" s="358">
        <f>+B543/D543</f>
        <v>7.3170731707317069E-2</v>
      </c>
      <c r="C549" s="154">
        <f>G543/(H543*10)</f>
        <v>7.4999999999999997E-2</v>
      </c>
      <c r="D549" s="403">
        <f>F543/(C543*E543)</f>
        <v>1.1407407407407408E-2</v>
      </c>
      <c r="E549" s="472">
        <v>400</v>
      </c>
      <c r="F549" s="274">
        <f t="shared" ref="F549" si="43">4.2/E549</f>
        <v>1.0500000000000001E-2</v>
      </c>
      <c r="G549" s="404" t="str">
        <f t="shared" ref="G549" si="44">IF(B549&gt;=1/16,"Vérifié","non Vérifié")</f>
        <v>Vérifié</v>
      </c>
      <c r="H549" s="404" t="str">
        <f>IF(B549&gt;=C549,"Vérifié","non Vérifié")</f>
        <v>non Vérifié</v>
      </c>
      <c r="I549" s="479" t="str">
        <f>IF(D549&lt;=F549,"Vérifié","non Vérifié")</f>
        <v>non Vérifié</v>
      </c>
      <c r="J549" s="310"/>
      <c r="K549" s="310"/>
      <c r="L549" s="70"/>
    </row>
    <row r="550" spans="1:17">
      <c r="A550" s="392"/>
      <c r="B550" s="354"/>
      <c r="C550" s="353"/>
      <c r="D550" s="353"/>
      <c r="E550" s="400"/>
      <c r="F550" s="353"/>
      <c r="G550" s="355"/>
      <c r="H550" s="401"/>
      <c r="I550" s="310"/>
      <c r="J550" s="310"/>
      <c r="K550" s="310"/>
      <c r="L550" s="70"/>
    </row>
    <row r="551" spans="1:17">
      <c r="A551" s="392"/>
      <c r="B551" s="354"/>
      <c r="C551" s="353"/>
      <c r="D551" s="353"/>
      <c r="E551" s="400"/>
      <c r="F551" s="353"/>
      <c r="G551" s="355"/>
      <c r="H551" s="401"/>
      <c r="I551" s="310"/>
      <c r="J551" s="310"/>
      <c r="K551" s="310"/>
      <c r="L551" s="70"/>
    </row>
    <row r="552" spans="1:17">
      <c r="A552" s="392"/>
      <c r="B552" s="354"/>
      <c r="C552" s="353"/>
      <c r="D552" s="353"/>
      <c r="E552" s="400"/>
      <c r="F552" s="353"/>
      <c r="G552" s="355"/>
      <c r="H552" s="401"/>
      <c r="I552" s="310"/>
      <c r="J552" s="310"/>
      <c r="K552" s="310"/>
      <c r="L552" s="70"/>
    </row>
    <row r="553" spans="1:17">
      <c r="A553" s="310"/>
      <c r="B553" s="362"/>
      <c r="C553" s="362"/>
      <c r="D553" s="310"/>
      <c r="E553" s="310"/>
      <c r="F553" s="362"/>
      <c r="G553" s="310"/>
      <c r="H553" s="310"/>
      <c r="I553" s="310"/>
      <c r="J553" s="353"/>
      <c r="K553" s="310"/>
      <c r="L553" s="70"/>
    </row>
    <row r="554" spans="1:17" ht="18.75" customHeight="1">
      <c r="A554" s="310"/>
      <c r="B554" s="362"/>
      <c r="C554" s="362"/>
      <c r="D554" s="310"/>
      <c r="E554" s="310"/>
      <c r="F554" s="362"/>
      <c r="G554" s="310"/>
      <c r="H554" s="310"/>
      <c r="I554" s="310"/>
      <c r="J554" s="353"/>
      <c r="K554" s="310"/>
      <c r="L554" s="70"/>
    </row>
    <row r="555" spans="1:17">
      <c r="A555" s="310"/>
      <c r="B555" s="362"/>
      <c r="C555" s="362"/>
      <c r="D555" s="310"/>
      <c r="E555" s="310"/>
      <c r="F555" s="362"/>
      <c r="G555" s="310"/>
      <c r="H555" s="310"/>
      <c r="I555" s="310"/>
      <c r="J555" s="385"/>
      <c r="K555" s="310"/>
      <c r="L555" s="70"/>
    </row>
    <row r="556" spans="1:17" ht="18.75" customHeight="1">
      <c r="A556" s="310"/>
      <c r="B556" s="362"/>
      <c r="C556" s="362"/>
      <c r="D556" s="310"/>
      <c r="E556" s="310"/>
      <c r="F556" s="362"/>
      <c r="G556" s="310"/>
      <c r="H556" s="310"/>
      <c r="I556" s="310"/>
      <c r="J556" s="310"/>
      <c r="K556" s="310"/>
      <c r="L556" s="70"/>
    </row>
    <row r="557" spans="1:17">
      <c r="A557" s="310"/>
      <c r="B557" s="362"/>
      <c r="C557" s="362"/>
      <c r="D557" s="310"/>
      <c r="E557" s="310"/>
      <c r="F557" s="362"/>
      <c r="G557" s="310"/>
      <c r="H557" s="310"/>
      <c r="I557" s="310"/>
      <c r="J557" s="310"/>
      <c r="K557" s="310"/>
      <c r="L557" s="70"/>
    </row>
    <row r="558" spans="1:17">
      <c r="A558" s="310"/>
      <c r="B558" s="362"/>
      <c r="C558" s="362"/>
      <c r="D558" s="310"/>
      <c r="E558" s="310"/>
      <c r="F558" s="362"/>
      <c r="G558" s="310"/>
      <c r="H558" s="310"/>
      <c r="I558" s="310"/>
      <c r="J558" s="378"/>
      <c r="K558" s="310"/>
      <c r="L558" s="70"/>
      <c r="M558" s="34"/>
      <c r="N558" s="34"/>
      <c r="Q558" s="34"/>
    </row>
    <row r="559" spans="1:17">
      <c r="A559" s="310"/>
      <c r="B559" s="362"/>
      <c r="C559" s="362"/>
      <c r="D559" s="310"/>
      <c r="E559" s="310"/>
      <c r="F559" s="362"/>
      <c r="G559" s="310"/>
      <c r="H559" s="310"/>
      <c r="I559" s="310"/>
      <c r="J559" s="378"/>
      <c r="K559" s="310"/>
      <c r="L559" s="70"/>
      <c r="N559" s="34"/>
      <c r="Q559" s="34"/>
    </row>
    <row r="560" spans="1:17">
      <c r="A560" s="310"/>
      <c r="B560" s="362"/>
      <c r="C560" s="362"/>
      <c r="D560" s="310"/>
      <c r="E560" s="310"/>
      <c r="F560" s="362"/>
      <c r="G560" s="310"/>
      <c r="H560" s="310"/>
      <c r="I560" s="310"/>
      <c r="J560" s="353"/>
      <c r="K560" s="310"/>
      <c r="L560" s="70"/>
    </row>
    <row r="561" spans="1:12" ht="18.75" customHeight="1">
      <c r="A561" s="362"/>
      <c r="B561" s="362"/>
      <c r="C561" s="362"/>
      <c r="D561" s="310"/>
      <c r="E561" s="310"/>
      <c r="F561" s="362"/>
      <c r="G561" s="310"/>
      <c r="H561" s="310"/>
      <c r="I561" s="310"/>
      <c r="J561" s="353"/>
      <c r="K561" s="310"/>
      <c r="L561" s="70"/>
    </row>
    <row r="562" spans="1:12">
      <c r="A562" s="368"/>
      <c r="B562" s="362"/>
      <c r="C562" s="362"/>
      <c r="D562" s="310"/>
      <c r="E562" s="310"/>
      <c r="F562" s="362"/>
      <c r="G562" s="310"/>
      <c r="H562" s="310"/>
      <c r="I562" s="310"/>
      <c r="J562" s="353"/>
      <c r="K562" s="310"/>
      <c r="L562" s="70"/>
    </row>
    <row r="563" spans="1:12" ht="18.75" customHeight="1">
      <c r="A563" s="378"/>
      <c r="B563" s="421"/>
      <c r="C563" s="367"/>
      <c r="D563" s="367"/>
      <c r="E563" s="367"/>
      <c r="F563" s="367"/>
      <c r="G563" s="367"/>
      <c r="H563" s="367"/>
      <c r="I563" s="378"/>
      <c r="J563" s="353"/>
      <c r="K563" s="310"/>
      <c r="L563" s="70"/>
    </row>
    <row r="564" spans="1:12">
      <c r="A564" s="378"/>
      <c r="B564" s="421"/>
      <c r="C564" s="440"/>
      <c r="D564" s="440"/>
      <c r="E564" s="440"/>
      <c r="F564" s="440"/>
      <c r="G564" s="440"/>
      <c r="H564" s="440"/>
      <c r="I564" s="378"/>
      <c r="J564" s="353"/>
      <c r="K564" s="310"/>
      <c r="L564" s="70"/>
    </row>
    <row r="565" spans="1:12">
      <c r="A565" s="427"/>
      <c r="B565" s="354"/>
      <c r="C565" s="421"/>
      <c r="D565" s="421"/>
      <c r="E565" s="421"/>
      <c r="F565" s="354"/>
      <c r="G565" s="354"/>
      <c r="H565" s="353"/>
      <c r="I565" s="353"/>
      <c r="J565" s="353"/>
      <c r="K565" s="310"/>
      <c r="L565" s="70"/>
    </row>
    <row r="566" spans="1:12">
      <c r="A566" s="427"/>
      <c r="B566" s="354"/>
      <c r="C566" s="421"/>
      <c r="D566" s="421"/>
      <c r="E566" s="378"/>
      <c r="F566" s="354"/>
      <c r="G566" s="354"/>
      <c r="H566" s="353"/>
      <c r="I566" s="353"/>
      <c r="J566" s="353"/>
      <c r="K566" s="310"/>
      <c r="L566" s="70"/>
    </row>
    <row r="567" spans="1:12">
      <c r="A567" s="427"/>
      <c r="B567" s="354"/>
      <c r="C567" s="421"/>
      <c r="D567" s="421"/>
      <c r="E567" s="421"/>
      <c r="F567" s="354"/>
      <c r="G567" s="354"/>
      <c r="H567" s="353"/>
      <c r="I567" s="353"/>
      <c r="J567" s="353"/>
      <c r="K567" s="310"/>
      <c r="L567" s="70"/>
    </row>
    <row r="568" spans="1:12">
      <c r="A568" s="427"/>
      <c r="B568" s="354"/>
      <c r="C568" s="421"/>
      <c r="D568" s="421"/>
      <c r="E568" s="378"/>
      <c r="F568" s="354"/>
      <c r="G568" s="354"/>
      <c r="H568" s="353"/>
      <c r="I568" s="353"/>
      <c r="J568" s="353"/>
      <c r="K568" s="310"/>
      <c r="L568" s="70"/>
    </row>
    <row r="569" spans="1:12">
      <c r="A569" s="427"/>
      <c r="B569" s="354"/>
      <c r="C569" s="421"/>
      <c r="D569" s="421"/>
      <c r="E569" s="421"/>
      <c r="F569" s="354"/>
      <c r="G569" s="354"/>
      <c r="H569" s="353"/>
      <c r="I569" s="353"/>
      <c r="J569" s="353"/>
      <c r="K569" s="310"/>
      <c r="L569" s="70"/>
    </row>
    <row r="570" spans="1:12" ht="18.75" customHeight="1">
      <c r="A570" s="427"/>
      <c r="B570" s="354"/>
      <c r="C570" s="421"/>
      <c r="D570" s="421"/>
      <c r="E570" s="378"/>
      <c r="F570" s="354"/>
      <c r="G570" s="354"/>
      <c r="H570" s="353"/>
      <c r="I570" s="353"/>
      <c r="J570" s="353"/>
      <c r="K570" s="310"/>
      <c r="L570" s="70"/>
    </row>
    <row r="571" spans="1:12">
      <c r="A571" s="427"/>
      <c r="B571" s="354"/>
      <c r="C571" s="421"/>
      <c r="D571" s="421"/>
      <c r="E571" s="421"/>
      <c r="F571" s="354"/>
      <c r="G571" s="354"/>
      <c r="H571" s="353"/>
      <c r="I571" s="353"/>
      <c r="J571" s="353"/>
      <c r="K571" s="310"/>
      <c r="L571" s="70"/>
    </row>
    <row r="572" spans="1:12">
      <c r="A572" s="427"/>
      <c r="B572" s="354"/>
      <c r="C572" s="421"/>
      <c r="D572" s="421"/>
      <c r="E572" s="378"/>
      <c r="F572" s="354"/>
      <c r="G572" s="354"/>
      <c r="H572" s="353"/>
      <c r="I572" s="353"/>
      <c r="J572" s="310"/>
      <c r="K572" s="310"/>
      <c r="L572" s="70"/>
    </row>
    <row r="573" spans="1:12">
      <c r="A573" s="427"/>
      <c r="B573" s="354"/>
      <c r="C573" s="421"/>
      <c r="D573" s="378"/>
      <c r="E573" s="421"/>
      <c r="F573" s="354"/>
      <c r="G573" s="354"/>
      <c r="H573" s="353"/>
      <c r="I573" s="353"/>
      <c r="J573" s="310"/>
      <c r="K573" s="310"/>
      <c r="L573" s="70"/>
    </row>
    <row r="574" spans="1:12">
      <c r="A574" s="427"/>
      <c r="B574" s="354"/>
      <c r="C574" s="421"/>
      <c r="D574" s="378"/>
      <c r="E574" s="378"/>
      <c r="F574" s="354"/>
      <c r="G574" s="354"/>
      <c r="H574" s="353"/>
      <c r="I574" s="353"/>
      <c r="J574" s="310"/>
      <c r="K574" s="310"/>
      <c r="L574" s="70"/>
    </row>
    <row r="575" spans="1:12">
      <c r="A575" s="427"/>
      <c r="B575" s="354"/>
      <c r="C575" s="421"/>
      <c r="D575" s="378"/>
      <c r="E575" s="421"/>
      <c r="F575" s="354"/>
      <c r="G575" s="354"/>
      <c r="H575" s="353"/>
      <c r="I575" s="353"/>
      <c r="J575" s="310"/>
      <c r="K575" s="310"/>
      <c r="L575" s="70"/>
    </row>
    <row r="576" spans="1:12">
      <c r="A576" s="427"/>
      <c r="B576" s="354"/>
      <c r="C576" s="421"/>
      <c r="D576" s="378"/>
      <c r="E576" s="378"/>
      <c r="F576" s="354"/>
      <c r="G576" s="354"/>
      <c r="H576" s="353"/>
      <c r="I576" s="353"/>
      <c r="J576" s="310"/>
      <c r="K576" s="310"/>
      <c r="L576" s="70"/>
    </row>
    <row r="577" spans="1:17">
      <c r="A577" s="310"/>
      <c r="B577" s="362"/>
      <c r="C577" s="362"/>
      <c r="D577" s="310"/>
      <c r="E577" s="310"/>
      <c r="F577" s="362"/>
      <c r="G577" s="310"/>
      <c r="H577" s="310"/>
      <c r="I577" s="310"/>
      <c r="J577" s="310"/>
      <c r="K577" s="310"/>
      <c r="L577" s="70"/>
    </row>
    <row r="578" spans="1:17">
      <c r="A578" s="310"/>
      <c r="B578" s="362"/>
      <c r="C578" s="362"/>
      <c r="D578" s="310"/>
      <c r="E578" s="310"/>
      <c r="F578" s="362"/>
      <c r="G578" s="310"/>
      <c r="H578" s="310"/>
      <c r="I578" s="310"/>
      <c r="J578" s="310"/>
      <c r="K578" s="310"/>
      <c r="L578" s="70"/>
    </row>
    <row r="579" spans="1:17">
      <c r="A579" s="368"/>
      <c r="B579" s="362"/>
      <c r="C579" s="362"/>
      <c r="D579" s="310"/>
      <c r="E579" s="310"/>
      <c r="F579" s="362"/>
      <c r="G579" s="310"/>
      <c r="H579" s="310"/>
      <c r="I579" s="310"/>
      <c r="J579" s="310"/>
      <c r="K579" s="310"/>
      <c r="L579" s="70"/>
    </row>
    <row r="580" spans="1:17">
      <c r="A580" s="378"/>
      <c r="B580" s="421"/>
      <c r="C580" s="367"/>
      <c r="D580" s="367"/>
      <c r="E580" s="367"/>
      <c r="F580" s="367"/>
      <c r="G580" s="367"/>
      <c r="H580" s="367"/>
      <c r="I580" s="378"/>
      <c r="J580" s="310"/>
      <c r="K580" s="310"/>
      <c r="L580" s="70"/>
    </row>
    <row r="581" spans="1:17">
      <c r="A581" s="378"/>
      <c r="B581" s="421"/>
      <c r="C581" s="440"/>
      <c r="D581" s="440"/>
      <c r="E581" s="440"/>
      <c r="F581" s="440"/>
      <c r="G581" s="440"/>
      <c r="H581" s="440"/>
      <c r="I581" s="378"/>
      <c r="J581" s="310"/>
      <c r="K581" s="310"/>
      <c r="L581" s="70"/>
      <c r="M581" s="34"/>
      <c r="N581" s="34"/>
      <c r="Q581" s="34"/>
    </row>
    <row r="582" spans="1:17">
      <c r="A582" s="427"/>
      <c r="B582" s="354"/>
      <c r="C582" s="421"/>
      <c r="D582" s="421"/>
      <c r="E582" s="421"/>
      <c r="F582" s="354"/>
      <c r="G582" s="354"/>
      <c r="H582" s="353"/>
      <c r="I582" s="353"/>
      <c r="J582" s="310"/>
      <c r="K582" s="310"/>
      <c r="L582" s="70"/>
      <c r="M582" s="34"/>
      <c r="N582" s="34"/>
      <c r="Q582" s="34"/>
    </row>
    <row r="583" spans="1:17">
      <c r="A583" s="427"/>
      <c r="B583" s="354"/>
      <c r="C583" s="421"/>
      <c r="D583" s="421"/>
      <c r="E583" s="378"/>
      <c r="F583" s="354"/>
      <c r="G583" s="354"/>
      <c r="H583" s="353"/>
      <c r="I583" s="353"/>
      <c r="J583" s="421"/>
      <c r="K583" s="310"/>
      <c r="L583" s="70"/>
    </row>
    <row r="584" spans="1:17">
      <c r="A584" s="427"/>
      <c r="B584" s="354"/>
      <c r="C584" s="421"/>
      <c r="D584" s="421"/>
      <c r="E584" s="421"/>
      <c r="F584" s="354"/>
      <c r="G584" s="354"/>
      <c r="H584" s="353"/>
      <c r="I584" s="353"/>
      <c r="J584" s="421"/>
      <c r="K584" s="310"/>
      <c r="L584" s="70"/>
    </row>
    <row r="585" spans="1:17">
      <c r="A585" s="427"/>
      <c r="B585" s="354"/>
      <c r="C585" s="421"/>
      <c r="D585" s="421"/>
      <c r="E585" s="378"/>
      <c r="F585" s="354"/>
      <c r="G585" s="354"/>
      <c r="H585" s="353"/>
      <c r="I585" s="353"/>
      <c r="J585" s="310"/>
      <c r="K585" s="310"/>
      <c r="L585" s="70"/>
    </row>
    <row r="586" spans="1:17">
      <c r="A586" s="427"/>
      <c r="B586" s="354"/>
      <c r="C586" s="421"/>
      <c r="D586" s="421"/>
      <c r="E586" s="421"/>
      <c r="F586" s="354"/>
      <c r="G586" s="354"/>
      <c r="H586" s="353"/>
      <c r="I586" s="353"/>
      <c r="J586" s="310"/>
      <c r="K586" s="310"/>
      <c r="L586" s="70"/>
    </row>
    <row r="587" spans="1:17">
      <c r="A587" s="427"/>
      <c r="B587" s="354"/>
      <c r="C587" s="421"/>
      <c r="D587" s="421"/>
      <c r="E587" s="378"/>
      <c r="F587" s="354"/>
      <c r="G587" s="354"/>
      <c r="H587" s="353"/>
      <c r="I587" s="353"/>
      <c r="J587" s="310"/>
      <c r="K587" s="310"/>
      <c r="L587" s="70"/>
    </row>
    <row r="588" spans="1:17">
      <c r="A588" s="427"/>
      <c r="B588" s="354"/>
      <c r="C588" s="421"/>
      <c r="D588" s="421"/>
      <c r="E588" s="421"/>
      <c r="F588" s="354"/>
      <c r="G588" s="354"/>
      <c r="H588" s="353"/>
      <c r="I588" s="353"/>
      <c r="J588" s="310"/>
      <c r="K588" s="310"/>
      <c r="L588" s="70"/>
    </row>
    <row r="589" spans="1:17">
      <c r="A589" s="427"/>
      <c r="B589" s="354"/>
      <c r="C589" s="421"/>
      <c r="D589" s="421"/>
      <c r="E589" s="378"/>
      <c r="F589" s="354"/>
      <c r="G589" s="354"/>
      <c r="H589" s="353"/>
      <c r="I589" s="353"/>
      <c r="J589" s="310"/>
      <c r="K589" s="310"/>
      <c r="L589" s="70"/>
    </row>
    <row r="590" spans="1:17">
      <c r="A590" s="427"/>
      <c r="B590" s="354"/>
      <c r="C590" s="421"/>
      <c r="D590" s="378"/>
      <c r="E590" s="421"/>
      <c r="F590" s="354"/>
      <c r="G590" s="354"/>
      <c r="H590" s="353"/>
      <c r="I590" s="353"/>
      <c r="J590" s="310"/>
      <c r="K590" s="310"/>
      <c r="L590" s="70"/>
    </row>
    <row r="591" spans="1:17">
      <c r="A591" s="427"/>
      <c r="B591" s="354"/>
      <c r="C591" s="421"/>
      <c r="D591" s="378"/>
      <c r="E591" s="378"/>
      <c r="F591" s="354"/>
      <c r="G591" s="354"/>
      <c r="H591" s="353"/>
      <c r="I591" s="353"/>
      <c r="J591" s="310"/>
      <c r="K591" s="310"/>
      <c r="L591" s="70"/>
    </row>
    <row r="592" spans="1:17">
      <c r="A592" s="427"/>
      <c r="B592" s="354"/>
      <c r="C592" s="421"/>
      <c r="D592" s="378"/>
      <c r="E592" s="421"/>
      <c r="F592" s="354"/>
      <c r="G592" s="354"/>
      <c r="H592" s="353"/>
      <c r="I592" s="353"/>
      <c r="J592" s="310"/>
      <c r="K592" s="310"/>
      <c r="L592" s="70"/>
    </row>
    <row r="593" spans="1:12">
      <c r="A593" s="427"/>
      <c r="B593" s="354"/>
      <c r="C593" s="421"/>
      <c r="D593" s="378"/>
      <c r="E593" s="378"/>
      <c r="F593" s="354"/>
      <c r="G593" s="354"/>
      <c r="H593" s="353"/>
      <c r="I593" s="353"/>
      <c r="J593" s="310"/>
      <c r="K593" s="310"/>
      <c r="L593" s="70"/>
    </row>
    <row r="594" spans="1:12">
      <c r="A594" s="310"/>
      <c r="B594" s="362"/>
      <c r="C594" s="362"/>
      <c r="D594" s="310"/>
      <c r="E594" s="310"/>
      <c r="F594" s="362"/>
      <c r="G594" s="310"/>
      <c r="H594" s="310"/>
      <c r="I594" s="310"/>
      <c r="J594" s="310"/>
      <c r="K594" s="310"/>
      <c r="L594" s="70"/>
    </row>
    <row r="595" spans="1:12">
      <c r="A595" s="310"/>
      <c r="B595" s="362"/>
      <c r="C595" s="362"/>
      <c r="D595" s="310"/>
      <c r="E595" s="310"/>
      <c r="F595" s="362"/>
      <c r="G595" s="310"/>
      <c r="H595" s="310"/>
      <c r="I595" s="310"/>
      <c r="J595" s="310"/>
      <c r="K595" s="310"/>
      <c r="L595" s="70"/>
    </row>
    <row r="596" spans="1:12">
      <c r="A596" s="310"/>
      <c r="B596" s="362"/>
      <c r="C596" s="362"/>
      <c r="D596" s="310"/>
      <c r="E596" s="310"/>
      <c r="F596" s="362"/>
      <c r="G596" s="310"/>
      <c r="H596" s="310"/>
      <c r="I596" s="310"/>
      <c r="J596" s="310"/>
      <c r="K596" s="310"/>
      <c r="L596" s="70"/>
    </row>
    <row r="597" spans="1:12">
      <c r="A597" s="310"/>
      <c r="B597" s="362"/>
      <c r="C597" s="362"/>
      <c r="D597" s="310"/>
      <c r="E597" s="310"/>
      <c r="F597" s="362"/>
      <c r="G597" s="310"/>
      <c r="H597" s="310"/>
      <c r="I597" s="310"/>
      <c r="J597" s="310"/>
      <c r="K597" s="310"/>
      <c r="L597" s="70"/>
    </row>
    <row r="598" spans="1:12">
      <c r="A598" s="310"/>
      <c r="B598" s="362"/>
      <c r="C598" s="362"/>
      <c r="D598" s="310"/>
      <c r="E598" s="310"/>
      <c r="F598" s="362"/>
      <c r="G598" s="310"/>
      <c r="H598" s="310"/>
      <c r="I598" s="310"/>
      <c r="J598" s="310"/>
      <c r="K598" s="310"/>
      <c r="L598" s="70"/>
    </row>
    <row r="599" spans="1:12">
      <c r="A599" s="310"/>
      <c r="B599" s="362"/>
      <c r="C599" s="362"/>
      <c r="D599" s="310"/>
      <c r="E599" s="310"/>
      <c r="F599" s="362"/>
      <c r="G599" s="310"/>
      <c r="H599" s="310"/>
      <c r="I599" s="310"/>
      <c r="J599" s="310"/>
      <c r="K599" s="310"/>
      <c r="L599" s="70"/>
    </row>
    <row r="600" spans="1:12">
      <c r="A600" s="310"/>
      <c r="B600" s="362"/>
      <c r="C600" s="362"/>
      <c r="D600" s="310"/>
      <c r="E600" s="310"/>
      <c r="F600" s="362"/>
      <c r="G600" s="310"/>
      <c r="H600" s="310"/>
      <c r="I600" s="310"/>
      <c r="J600" s="310"/>
      <c r="K600" s="310"/>
      <c r="L600" s="70"/>
    </row>
    <row r="601" spans="1:12">
      <c r="A601" s="310"/>
      <c r="B601" s="362"/>
      <c r="C601" s="362"/>
      <c r="D601" s="310"/>
      <c r="E601" s="310"/>
      <c r="F601" s="362"/>
      <c r="G601" s="310"/>
      <c r="H601" s="310"/>
      <c r="I601" s="310"/>
      <c r="J601" s="310"/>
      <c r="K601" s="310"/>
      <c r="L601" s="70"/>
    </row>
    <row r="602" spans="1:12">
      <c r="A602" s="310"/>
      <c r="B602" s="362"/>
      <c r="C602" s="362"/>
      <c r="D602" s="310"/>
      <c r="E602" s="310"/>
      <c r="F602" s="362"/>
      <c r="G602" s="310"/>
      <c r="H602" s="310"/>
      <c r="I602" s="310"/>
      <c r="J602" s="310"/>
      <c r="K602" s="310"/>
      <c r="L602" s="70"/>
    </row>
    <row r="603" spans="1:12">
      <c r="A603" s="310"/>
      <c r="B603" s="362"/>
      <c r="C603" s="362"/>
      <c r="D603" s="310"/>
      <c r="E603" s="310"/>
      <c r="F603" s="362"/>
      <c r="G603" s="310"/>
      <c r="H603" s="310"/>
      <c r="I603" s="310"/>
      <c r="J603" s="310"/>
      <c r="K603" s="310"/>
      <c r="L603" s="70"/>
    </row>
    <row r="604" spans="1:12">
      <c r="A604" s="310"/>
      <c r="B604" s="362"/>
      <c r="C604" s="362"/>
      <c r="D604" s="310"/>
      <c r="E604" s="310"/>
      <c r="F604" s="362"/>
      <c r="G604" s="310"/>
      <c r="H604" s="310"/>
      <c r="I604" s="310"/>
      <c r="J604" s="310"/>
      <c r="K604" s="310"/>
      <c r="L604" s="70"/>
    </row>
    <row r="605" spans="1:12">
      <c r="A605" s="310"/>
      <c r="B605" s="362"/>
      <c r="C605" s="362"/>
      <c r="D605" s="310"/>
      <c r="E605" s="310"/>
      <c r="F605" s="362"/>
      <c r="G605" s="310"/>
      <c r="H605" s="310"/>
      <c r="I605" s="310"/>
      <c r="J605" s="310"/>
      <c r="K605" s="310"/>
      <c r="L605" s="70"/>
    </row>
    <row r="606" spans="1:12">
      <c r="A606" s="310"/>
      <c r="B606" s="362"/>
      <c r="C606" s="362"/>
      <c r="D606" s="310"/>
      <c r="E606" s="310"/>
      <c r="F606" s="362"/>
      <c r="G606" s="310"/>
      <c r="H606" s="310"/>
      <c r="I606" s="310"/>
      <c r="J606" s="310"/>
      <c r="K606" s="310"/>
      <c r="L606" s="70"/>
    </row>
    <row r="607" spans="1:12">
      <c r="A607" s="310"/>
      <c r="B607" s="362"/>
      <c r="C607" s="362"/>
      <c r="D607" s="310"/>
      <c r="E607" s="310"/>
      <c r="F607" s="362"/>
      <c r="G607" s="310"/>
      <c r="H607" s="310"/>
      <c r="I607" s="310"/>
      <c r="J607" s="310"/>
      <c r="K607" s="310"/>
      <c r="L607" s="70"/>
    </row>
    <row r="608" spans="1:12">
      <c r="A608" s="310"/>
      <c r="B608" s="362"/>
      <c r="C608" s="362"/>
      <c r="D608" s="310"/>
      <c r="E608" s="310"/>
      <c r="F608" s="362"/>
      <c r="G608" s="310"/>
      <c r="H608" s="310"/>
      <c r="I608" s="310"/>
      <c r="J608" s="310"/>
      <c r="K608" s="310"/>
      <c r="L608" s="70"/>
    </row>
    <row r="609" spans="1:12">
      <c r="A609" s="310"/>
      <c r="B609" s="362"/>
      <c r="C609" s="362"/>
      <c r="D609" s="310"/>
      <c r="E609" s="310"/>
      <c r="F609" s="362"/>
      <c r="G609" s="310"/>
      <c r="H609" s="310"/>
      <c r="I609" s="310"/>
      <c r="J609" s="310"/>
      <c r="K609" s="310"/>
      <c r="L609" s="70"/>
    </row>
    <row r="610" spans="1:12">
      <c r="A610" s="310"/>
      <c r="B610" s="362"/>
      <c r="C610" s="362"/>
      <c r="D610" s="310"/>
      <c r="E610" s="310"/>
      <c r="F610" s="362"/>
      <c r="G610" s="310"/>
      <c r="H610" s="310"/>
      <c r="I610" s="310"/>
      <c r="J610" s="310"/>
      <c r="K610" s="310"/>
      <c r="L610" s="70"/>
    </row>
    <row r="611" spans="1:12">
      <c r="A611" s="310"/>
      <c r="B611" s="362"/>
      <c r="C611" s="362"/>
      <c r="D611" s="310"/>
      <c r="E611" s="310"/>
      <c r="F611" s="362"/>
      <c r="G611" s="310"/>
      <c r="H611" s="310"/>
      <c r="I611" s="310"/>
      <c r="J611" s="310"/>
      <c r="K611" s="310"/>
      <c r="L611" s="70"/>
    </row>
    <row r="612" spans="1:12">
      <c r="A612" s="310"/>
      <c r="B612" s="362"/>
      <c r="C612" s="362"/>
      <c r="D612" s="310"/>
      <c r="E612" s="310"/>
      <c r="F612" s="362"/>
      <c r="G612" s="310"/>
      <c r="H612" s="310"/>
      <c r="I612" s="310"/>
      <c r="J612" s="310"/>
      <c r="K612" s="310"/>
      <c r="L612" s="70"/>
    </row>
    <row r="613" spans="1:12">
      <c r="A613" s="433" t="s">
        <v>761</v>
      </c>
      <c r="B613" s="362"/>
      <c r="C613" s="362"/>
      <c r="D613" s="310" t="s">
        <v>208</v>
      </c>
      <c r="E613" s="310"/>
      <c r="F613" s="362"/>
      <c r="G613" s="310"/>
      <c r="H613" s="310"/>
      <c r="I613" s="310"/>
      <c r="J613" s="310"/>
      <c r="K613" s="310"/>
      <c r="L613" s="70"/>
    </row>
    <row r="614" spans="1:12">
      <c r="A614" s="310"/>
      <c r="B614" s="362"/>
      <c r="C614" s="362"/>
      <c r="D614" s="310"/>
      <c r="E614" s="310"/>
      <c r="F614" s="362"/>
      <c r="G614" s="310"/>
      <c r="H614" s="310"/>
      <c r="I614" s="310"/>
      <c r="J614" s="310"/>
      <c r="K614" s="310"/>
      <c r="L614" s="70"/>
    </row>
    <row r="615" spans="1:12">
      <c r="A615" s="617" t="s">
        <v>227</v>
      </c>
      <c r="B615" s="618"/>
      <c r="C615" s="588" t="s">
        <v>206</v>
      </c>
      <c r="D615" s="589"/>
      <c r="E615" s="589"/>
      <c r="F615" s="589"/>
      <c r="G615" s="589"/>
      <c r="H615" s="589"/>
      <c r="I615" s="595"/>
      <c r="J615" s="310"/>
      <c r="K615" s="310"/>
      <c r="L615" s="70"/>
    </row>
    <row r="616" spans="1:12" ht="18.75" customHeight="1">
      <c r="A616" s="619" t="s">
        <v>200</v>
      </c>
      <c r="B616" s="428" t="s">
        <v>202</v>
      </c>
      <c r="C616" s="588" t="s">
        <v>232</v>
      </c>
      <c r="D616" s="589"/>
      <c r="E616" s="595"/>
      <c r="F616" s="622" t="s">
        <v>224</v>
      </c>
      <c r="G616" s="623"/>
      <c r="H616" s="623"/>
      <c r="I616" s="624"/>
      <c r="J616" s="310"/>
      <c r="K616" s="310"/>
      <c r="L616" s="70"/>
    </row>
    <row r="617" spans="1:12">
      <c r="A617" s="620"/>
      <c r="B617" s="428" t="s">
        <v>203</v>
      </c>
      <c r="C617" s="588" t="s">
        <v>233</v>
      </c>
      <c r="D617" s="589"/>
      <c r="E617" s="595"/>
      <c r="F617" s="625"/>
      <c r="G617" s="626"/>
      <c r="H617" s="626"/>
      <c r="I617" s="627"/>
      <c r="J617" s="310"/>
      <c r="K617" s="310"/>
      <c r="L617" s="70"/>
    </row>
    <row r="618" spans="1:12" ht="18.75" customHeight="1">
      <c r="A618" s="621" t="s">
        <v>201</v>
      </c>
      <c r="B618" s="428" t="s">
        <v>204</v>
      </c>
      <c r="C618" s="588" t="s">
        <v>234</v>
      </c>
      <c r="D618" s="589"/>
      <c r="E618" s="595"/>
      <c r="F618" s="622" t="s">
        <v>225</v>
      </c>
      <c r="G618" s="623"/>
      <c r="H618" s="623"/>
      <c r="I618" s="624"/>
      <c r="J618" s="310"/>
      <c r="K618" s="310"/>
      <c r="L618" s="70"/>
    </row>
    <row r="619" spans="1:12">
      <c r="A619" s="620"/>
      <c r="B619" s="428" t="s">
        <v>205</v>
      </c>
      <c r="C619" s="588" t="s">
        <v>235</v>
      </c>
      <c r="D619" s="589"/>
      <c r="E619" s="595"/>
      <c r="F619" s="625"/>
      <c r="G619" s="626"/>
      <c r="H619" s="626"/>
      <c r="I619" s="627"/>
      <c r="J619" s="310"/>
      <c r="K619" s="310"/>
      <c r="L619" s="70"/>
    </row>
    <row r="620" spans="1:12">
      <c r="A620" s="310"/>
      <c r="B620" s="362"/>
      <c r="C620" s="362"/>
      <c r="D620" s="310"/>
      <c r="E620" s="310"/>
      <c r="F620" s="362"/>
      <c r="G620" s="310"/>
      <c r="H620" s="310"/>
      <c r="I620" s="310"/>
      <c r="J620" s="310"/>
      <c r="K620" s="310"/>
      <c r="L620" s="70"/>
    </row>
    <row r="621" spans="1:12">
      <c r="A621" s="617" t="s">
        <v>228</v>
      </c>
      <c r="B621" s="618"/>
      <c r="C621" s="588" t="s">
        <v>206</v>
      </c>
      <c r="D621" s="589"/>
      <c r="E621" s="589"/>
      <c r="F621" s="589"/>
      <c r="G621" s="589"/>
      <c r="H621" s="589"/>
      <c r="I621" s="595"/>
      <c r="J621" s="310"/>
      <c r="K621" s="310"/>
      <c r="L621" s="70"/>
    </row>
    <row r="622" spans="1:12" ht="18.75" customHeight="1">
      <c r="A622" s="619" t="s">
        <v>200</v>
      </c>
      <c r="B622" s="428" t="s">
        <v>202</v>
      </c>
      <c r="C622" s="588" t="s">
        <v>236</v>
      </c>
      <c r="D622" s="589"/>
      <c r="E622" s="595"/>
      <c r="F622" s="622" t="s">
        <v>224</v>
      </c>
      <c r="G622" s="623"/>
      <c r="H622" s="623"/>
      <c r="I622" s="624"/>
      <c r="J622" s="310"/>
      <c r="K622" s="310"/>
      <c r="L622" s="70"/>
    </row>
    <row r="623" spans="1:12">
      <c r="A623" s="620"/>
      <c r="B623" s="428" t="s">
        <v>203</v>
      </c>
      <c r="C623" s="588" t="s">
        <v>237</v>
      </c>
      <c r="D623" s="589"/>
      <c r="E623" s="595"/>
      <c r="F623" s="625"/>
      <c r="G623" s="626"/>
      <c r="H623" s="626"/>
      <c r="I623" s="627"/>
      <c r="J623" s="310"/>
      <c r="K623" s="310"/>
      <c r="L623" s="70"/>
    </row>
    <row r="624" spans="1:12" ht="18.75" customHeight="1">
      <c r="A624" s="621" t="s">
        <v>201</v>
      </c>
      <c r="B624" s="428" t="s">
        <v>204</v>
      </c>
      <c r="C624" s="588" t="s">
        <v>238</v>
      </c>
      <c r="D624" s="589"/>
      <c r="E624" s="595"/>
      <c r="F624" s="622" t="s">
        <v>225</v>
      </c>
      <c r="G624" s="623"/>
      <c r="H624" s="623"/>
      <c r="I624" s="624"/>
      <c r="J624" s="310"/>
      <c r="K624" s="310"/>
      <c r="L624" s="70"/>
    </row>
    <row r="625" spans="1:12">
      <c r="A625" s="620"/>
      <c r="B625" s="428" t="s">
        <v>205</v>
      </c>
      <c r="C625" s="588" t="s">
        <v>239</v>
      </c>
      <c r="D625" s="589"/>
      <c r="E625" s="595"/>
      <c r="F625" s="625"/>
      <c r="G625" s="626"/>
      <c r="H625" s="626"/>
      <c r="I625" s="627"/>
      <c r="J625" s="310"/>
      <c r="K625" s="310"/>
      <c r="L625" s="70"/>
    </row>
    <row r="626" spans="1:12">
      <c r="A626" s="310"/>
      <c r="B626" s="362"/>
      <c r="C626" s="362"/>
      <c r="D626" s="310"/>
      <c r="E626" s="310"/>
      <c r="F626" s="362"/>
      <c r="G626" s="310"/>
      <c r="H626" s="310"/>
      <c r="I626" s="310"/>
      <c r="J626" s="310"/>
      <c r="K626" s="310"/>
      <c r="L626" s="70"/>
    </row>
    <row r="627" spans="1:12">
      <c r="A627" s="617" t="s">
        <v>229</v>
      </c>
      <c r="B627" s="618"/>
      <c r="C627" s="588" t="s">
        <v>206</v>
      </c>
      <c r="D627" s="589"/>
      <c r="E627" s="589"/>
      <c r="F627" s="589"/>
      <c r="G627" s="589"/>
      <c r="H627" s="589"/>
      <c r="I627" s="595"/>
      <c r="J627" s="310"/>
      <c r="K627" s="310"/>
      <c r="L627" s="70"/>
    </row>
    <row r="628" spans="1:12" ht="18.75" customHeight="1">
      <c r="A628" s="619" t="s">
        <v>200</v>
      </c>
      <c r="B628" s="428" t="s">
        <v>202</v>
      </c>
      <c r="C628" s="588" t="s">
        <v>240</v>
      </c>
      <c r="D628" s="589"/>
      <c r="E628" s="595"/>
      <c r="F628" s="622" t="s">
        <v>217</v>
      </c>
      <c r="G628" s="623"/>
      <c r="H628" s="623"/>
      <c r="I628" s="624"/>
      <c r="J628" s="310"/>
      <c r="K628" s="310"/>
      <c r="L628" s="70"/>
    </row>
    <row r="629" spans="1:12">
      <c r="A629" s="620"/>
      <c r="B629" s="428" t="s">
        <v>203</v>
      </c>
      <c r="C629" s="588" t="s">
        <v>241</v>
      </c>
      <c r="D629" s="589"/>
      <c r="E629" s="595"/>
      <c r="F629" s="625"/>
      <c r="G629" s="626"/>
      <c r="H629" s="626"/>
      <c r="I629" s="627"/>
      <c r="J629" s="310"/>
      <c r="K629" s="310"/>
      <c r="L629" s="70"/>
    </row>
    <row r="630" spans="1:12" ht="18.75" customHeight="1">
      <c r="A630" s="621" t="s">
        <v>201</v>
      </c>
      <c r="B630" s="428" t="s">
        <v>204</v>
      </c>
      <c r="C630" s="588" t="s">
        <v>242</v>
      </c>
      <c r="D630" s="589"/>
      <c r="E630" s="595"/>
      <c r="F630" s="622" t="s">
        <v>207</v>
      </c>
      <c r="G630" s="623"/>
      <c r="H630" s="623"/>
      <c r="I630" s="624"/>
      <c r="J630" s="310"/>
      <c r="K630" s="310"/>
      <c r="L630" s="70"/>
    </row>
    <row r="631" spans="1:12">
      <c r="A631" s="620"/>
      <c r="B631" s="428" t="s">
        <v>205</v>
      </c>
      <c r="C631" s="588" t="s">
        <v>243</v>
      </c>
      <c r="D631" s="589"/>
      <c r="E631" s="595"/>
      <c r="F631" s="625"/>
      <c r="G631" s="626"/>
      <c r="H631" s="626"/>
      <c r="I631" s="627"/>
      <c r="J631" s="310"/>
      <c r="K631" s="310"/>
      <c r="L631" s="70"/>
    </row>
    <row r="632" spans="1:12">
      <c r="A632" s="310"/>
      <c r="B632" s="362"/>
      <c r="C632" s="362"/>
      <c r="D632" s="310"/>
      <c r="E632" s="310"/>
      <c r="F632" s="362"/>
      <c r="G632" s="310"/>
      <c r="H632" s="310"/>
      <c r="I632" s="310"/>
      <c r="J632" s="310"/>
      <c r="K632" s="310"/>
      <c r="L632" s="70"/>
    </row>
    <row r="633" spans="1:12">
      <c r="A633" s="617" t="s">
        <v>230</v>
      </c>
      <c r="B633" s="618"/>
      <c r="C633" s="588" t="s">
        <v>206</v>
      </c>
      <c r="D633" s="589"/>
      <c r="E633" s="589"/>
      <c r="F633" s="589"/>
      <c r="G633" s="589"/>
      <c r="H633" s="589"/>
      <c r="I633" s="595"/>
      <c r="J633" s="310"/>
      <c r="K633" s="310"/>
      <c r="L633" s="70"/>
    </row>
    <row r="634" spans="1:12" ht="18.75" customHeight="1">
      <c r="A634" s="619" t="s">
        <v>200</v>
      </c>
      <c r="B634" s="428" t="s">
        <v>202</v>
      </c>
      <c r="C634" s="588" t="s">
        <v>244</v>
      </c>
      <c r="D634" s="589"/>
      <c r="E634" s="595"/>
      <c r="F634" s="622" t="s">
        <v>217</v>
      </c>
      <c r="G634" s="623"/>
      <c r="H634" s="623"/>
      <c r="I634" s="624"/>
      <c r="J634" s="310"/>
      <c r="K634" s="310"/>
      <c r="L634" s="70"/>
    </row>
    <row r="635" spans="1:12">
      <c r="A635" s="620"/>
      <c r="B635" s="428" t="s">
        <v>203</v>
      </c>
      <c r="C635" s="588" t="s">
        <v>245</v>
      </c>
      <c r="D635" s="589"/>
      <c r="E635" s="595"/>
      <c r="F635" s="625"/>
      <c r="G635" s="626"/>
      <c r="H635" s="626"/>
      <c r="I635" s="627"/>
      <c r="J635" s="310"/>
      <c r="K635" s="310"/>
      <c r="L635" s="70"/>
    </row>
    <row r="636" spans="1:12" ht="18.75" customHeight="1">
      <c r="A636" s="621" t="s">
        <v>201</v>
      </c>
      <c r="B636" s="428" t="s">
        <v>204</v>
      </c>
      <c r="C636" s="588" t="s">
        <v>246</v>
      </c>
      <c r="D636" s="589"/>
      <c r="E636" s="595"/>
      <c r="F636" s="622" t="s">
        <v>207</v>
      </c>
      <c r="G636" s="623"/>
      <c r="H636" s="623"/>
      <c r="I636" s="624"/>
      <c r="J636" s="310"/>
      <c r="K636" s="310"/>
      <c r="L636" s="70"/>
    </row>
    <row r="637" spans="1:12">
      <c r="A637" s="620"/>
      <c r="B637" s="428" t="s">
        <v>205</v>
      </c>
      <c r="C637" s="588" t="s">
        <v>247</v>
      </c>
      <c r="D637" s="589"/>
      <c r="E637" s="595"/>
      <c r="F637" s="625"/>
      <c r="G637" s="626"/>
      <c r="H637" s="626"/>
      <c r="I637" s="627"/>
      <c r="J637" s="310"/>
      <c r="K637" s="310"/>
      <c r="L637" s="70"/>
    </row>
    <row r="638" spans="1:12">
      <c r="A638" s="310"/>
      <c r="B638" s="362"/>
      <c r="C638" s="362"/>
      <c r="D638" s="310"/>
      <c r="E638" s="310"/>
      <c r="F638" s="362"/>
      <c r="G638" s="310"/>
      <c r="H638" s="310"/>
      <c r="I638" s="310"/>
      <c r="J638" s="310"/>
      <c r="K638" s="310"/>
      <c r="L638" s="70"/>
    </row>
    <row r="639" spans="1:12">
      <c r="A639" s="617" t="s">
        <v>231</v>
      </c>
      <c r="B639" s="618"/>
      <c r="C639" s="588" t="s">
        <v>206</v>
      </c>
      <c r="D639" s="589"/>
      <c r="E639" s="589"/>
      <c r="F639" s="589"/>
      <c r="G639" s="589"/>
      <c r="H639" s="589"/>
      <c r="I639" s="595"/>
      <c r="J639" s="310"/>
      <c r="K639" s="310"/>
      <c r="L639" s="70"/>
    </row>
    <row r="640" spans="1:12" ht="18.75" customHeight="1">
      <c r="A640" s="621" t="s">
        <v>201</v>
      </c>
      <c r="B640" s="428" t="s">
        <v>202</v>
      </c>
      <c r="C640" s="588" t="s">
        <v>248</v>
      </c>
      <c r="D640" s="589"/>
      <c r="E640" s="595"/>
      <c r="F640" s="622" t="s">
        <v>217</v>
      </c>
      <c r="G640" s="623"/>
      <c r="H640" s="623"/>
      <c r="I640" s="624"/>
      <c r="J640" s="310" t="s">
        <v>221</v>
      </c>
      <c r="K640" s="310"/>
      <c r="L640" s="70"/>
    </row>
    <row r="641" spans="1:12">
      <c r="A641" s="620"/>
      <c r="B641" s="428" t="s">
        <v>203</v>
      </c>
      <c r="C641" s="588" t="s">
        <v>249</v>
      </c>
      <c r="D641" s="589"/>
      <c r="E641" s="595"/>
      <c r="F641" s="625"/>
      <c r="G641" s="626"/>
      <c r="H641" s="626"/>
      <c r="I641" s="627"/>
      <c r="J641" s="310"/>
      <c r="K641" s="310"/>
      <c r="L641" s="70"/>
    </row>
    <row r="642" spans="1:12" ht="18.75" customHeight="1">
      <c r="A642" s="621" t="s">
        <v>201</v>
      </c>
      <c r="B642" s="428" t="s">
        <v>204</v>
      </c>
      <c r="C642" s="588" t="s">
        <v>250</v>
      </c>
      <c r="D642" s="589"/>
      <c r="E642" s="595"/>
      <c r="F642" s="622" t="s">
        <v>225</v>
      </c>
      <c r="G642" s="623"/>
      <c r="H642" s="623"/>
      <c r="I642" s="624"/>
      <c r="J642" s="310"/>
      <c r="K642" s="310"/>
      <c r="L642" s="70"/>
    </row>
    <row r="643" spans="1:12">
      <c r="A643" s="620"/>
      <c r="B643" s="428" t="s">
        <v>205</v>
      </c>
      <c r="C643" s="588" t="s">
        <v>251</v>
      </c>
      <c r="D643" s="589"/>
      <c r="E643" s="595"/>
      <c r="F643" s="625"/>
      <c r="G643" s="626"/>
      <c r="H643" s="626"/>
      <c r="I643" s="627"/>
      <c r="J643" s="310"/>
      <c r="K643" s="310"/>
      <c r="L643" s="70"/>
    </row>
    <row r="644" spans="1:12">
      <c r="A644" s="310"/>
      <c r="B644" s="362"/>
      <c r="C644" s="362"/>
      <c r="D644" s="310"/>
      <c r="E644" s="310"/>
      <c r="F644" s="362"/>
      <c r="G644" s="310"/>
      <c r="H644" s="310"/>
      <c r="I644" s="310"/>
      <c r="J644" s="310"/>
      <c r="K644" s="310"/>
      <c r="L644" s="70"/>
    </row>
    <row r="645" spans="1:12">
      <c r="A645" s="617"/>
      <c r="B645" s="618"/>
      <c r="C645" s="588"/>
      <c r="D645" s="589"/>
      <c r="E645" s="589"/>
      <c r="F645" s="589"/>
      <c r="G645" s="589"/>
      <c r="H645" s="589"/>
      <c r="I645" s="595"/>
      <c r="J645" s="310"/>
      <c r="K645" s="310"/>
      <c r="L645" s="70"/>
    </row>
    <row r="646" spans="1:12">
      <c r="A646" s="621"/>
      <c r="B646" s="428"/>
      <c r="C646" s="588"/>
      <c r="D646" s="589"/>
      <c r="E646" s="595"/>
      <c r="F646" s="622"/>
      <c r="G646" s="623"/>
      <c r="H646" s="623"/>
      <c r="I646" s="624"/>
      <c r="J646" s="310"/>
      <c r="K646" s="310"/>
      <c r="L646" s="70"/>
    </row>
    <row r="647" spans="1:12">
      <c r="A647" s="620"/>
      <c r="B647" s="428"/>
      <c r="C647" s="588"/>
      <c r="D647" s="589"/>
      <c r="E647" s="595"/>
      <c r="F647" s="625"/>
      <c r="G647" s="626"/>
      <c r="H647" s="626"/>
      <c r="I647" s="627"/>
      <c r="J647" s="310"/>
      <c r="K647" s="310"/>
      <c r="L647" s="70"/>
    </row>
    <row r="648" spans="1:12">
      <c r="A648" s="621"/>
      <c r="B648" s="428"/>
      <c r="C648" s="588"/>
      <c r="D648" s="589"/>
      <c r="E648" s="595"/>
      <c r="F648" s="622"/>
      <c r="G648" s="623"/>
      <c r="H648" s="623"/>
      <c r="I648" s="624"/>
      <c r="J648" s="310"/>
      <c r="K648" s="310"/>
      <c r="L648" s="70"/>
    </row>
    <row r="649" spans="1:12">
      <c r="A649" s="620"/>
      <c r="B649" s="428"/>
      <c r="C649" s="588"/>
      <c r="D649" s="589"/>
      <c r="E649" s="595"/>
      <c r="F649" s="625"/>
      <c r="G649" s="626"/>
      <c r="H649" s="626"/>
      <c r="I649" s="627"/>
      <c r="J649" s="310"/>
      <c r="K649" s="310"/>
      <c r="L649" s="70"/>
    </row>
    <row r="650" spans="1:12">
      <c r="A650" s="310"/>
      <c r="B650" s="362"/>
      <c r="C650" s="362"/>
      <c r="D650" s="310"/>
      <c r="E650" s="310"/>
      <c r="F650" s="362"/>
      <c r="G650" s="310"/>
      <c r="H650" s="310"/>
      <c r="I650" s="310"/>
      <c r="J650" s="310"/>
      <c r="K650" s="310"/>
      <c r="L650" s="70"/>
    </row>
    <row r="651" spans="1:12">
      <c r="A651" s="310"/>
      <c r="B651" s="310"/>
      <c r="C651" s="362"/>
      <c r="D651" s="310"/>
      <c r="E651" s="310"/>
      <c r="F651" s="362"/>
      <c r="G651" s="310"/>
      <c r="H651" s="310"/>
      <c r="I651" s="310"/>
      <c r="J651" s="310"/>
      <c r="K651" s="310"/>
      <c r="L651" s="70"/>
    </row>
    <row r="652" spans="1:12">
      <c r="A652" s="617"/>
      <c r="B652" s="618"/>
      <c r="C652" s="588"/>
      <c r="D652" s="589"/>
      <c r="E652" s="589"/>
      <c r="F652" s="589"/>
      <c r="G652" s="589"/>
      <c r="H652" s="589"/>
      <c r="I652" s="595"/>
      <c r="J652" s="310"/>
      <c r="K652" s="310"/>
      <c r="L652" s="70"/>
    </row>
    <row r="653" spans="1:12">
      <c r="A653" s="619"/>
      <c r="B653" s="428"/>
      <c r="C653" s="588"/>
      <c r="D653" s="589"/>
      <c r="E653" s="595"/>
      <c r="F653" s="622"/>
      <c r="G653" s="623"/>
      <c r="H653" s="623"/>
      <c r="I653" s="624"/>
      <c r="J653" s="310"/>
      <c r="K653" s="310"/>
      <c r="L653" s="70"/>
    </row>
    <row r="654" spans="1:12">
      <c r="A654" s="620"/>
      <c r="B654" s="428"/>
      <c r="C654" s="588"/>
      <c r="D654" s="589"/>
      <c r="E654" s="595"/>
      <c r="F654" s="625"/>
      <c r="G654" s="626"/>
      <c r="H654" s="626"/>
      <c r="I654" s="627"/>
      <c r="J654" s="310"/>
      <c r="K654" s="310"/>
      <c r="L654" s="70"/>
    </row>
    <row r="655" spans="1:12">
      <c r="A655" s="621"/>
      <c r="B655" s="428"/>
      <c r="C655" s="588"/>
      <c r="D655" s="589"/>
      <c r="E655" s="595"/>
      <c r="F655" s="622"/>
      <c r="G655" s="623"/>
      <c r="H655" s="623"/>
      <c r="I655" s="624"/>
      <c r="J655" s="310"/>
      <c r="K655" s="310"/>
      <c r="L655" s="70"/>
    </row>
    <row r="656" spans="1:12">
      <c r="A656" s="620"/>
      <c r="B656" s="428"/>
      <c r="C656" s="588"/>
      <c r="D656" s="589"/>
      <c r="E656" s="595"/>
      <c r="F656" s="625"/>
      <c r="G656" s="626"/>
      <c r="H656" s="626"/>
      <c r="I656" s="627"/>
      <c r="J656" s="310"/>
      <c r="K656" s="310"/>
      <c r="L656" s="70"/>
    </row>
    <row r="657" spans="1:12">
      <c r="A657" s="310"/>
      <c r="B657" s="362"/>
      <c r="C657" s="362"/>
      <c r="D657" s="310"/>
      <c r="E657" s="310"/>
      <c r="F657" s="362"/>
      <c r="G657" s="310"/>
      <c r="H657" s="310"/>
      <c r="I657" s="310"/>
      <c r="J657" s="310"/>
      <c r="K657" s="310"/>
      <c r="L657" s="70"/>
    </row>
    <row r="658" spans="1:12">
      <c r="A658" s="310"/>
      <c r="B658" s="362"/>
      <c r="C658" s="362"/>
      <c r="D658" s="310"/>
      <c r="E658" s="310"/>
      <c r="F658" s="362"/>
      <c r="G658" s="310"/>
      <c r="H658" s="310"/>
      <c r="I658" s="310"/>
      <c r="J658" s="310"/>
      <c r="K658" s="310"/>
      <c r="L658" s="70"/>
    </row>
    <row r="659" spans="1:12">
      <c r="A659" s="310"/>
      <c r="B659" s="362"/>
      <c r="C659" s="362"/>
      <c r="D659" s="310"/>
      <c r="E659" s="310"/>
      <c r="F659" s="362"/>
      <c r="G659" s="310"/>
      <c r="H659" s="310"/>
      <c r="I659" s="310"/>
      <c r="J659" s="310"/>
      <c r="K659" s="310"/>
      <c r="L659" s="70"/>
    </row>
    <row r="660" spans="1:12">
      <c r="A660" s="310"/>
      <c r="B660" s="362"/>
      <c r="C660" s="362"/>
      <c r="D660" s="310"/>
      <c r="E660" s="310"/>
      <c r="F660" s="362"/>
      <c r="G660" s="310"/>
      <c r="H660" s="310"/>
      <c r="I660" s="310"/>
      <c r="J660" s="310"/>
      <c r="K660" s="310"/>
      <c r="L660" s="70"/>
    </row>
    <row r="661" spans="1:12">
      <c r="A661" s="310"/>
      <c r="B661" s="362"/>
      <c r="C661" s="362"/>
      <c r="D661" s="310"/>
      <c r="E661" s="310"/>
      <c r="F661" s="362"/>
      <c r="G661" s="310"/>
      <c r="H661" s="310"/>
      <c r="I661" s="310"/>
      <c r="J661" s="310"/>
      <c r="K661" s="310"/>
      <c r="L661" s="70"/>
    </row>
    <row r="662" spans="1:12">
      <c r="A662" s="310"/>
      <c r="B662" s="362"/>
      <c r="C662" s="362"/>
      <c r="D662" s="310"/>
      <c r="E662" s="310"/>
      <c r="F662" s="362"/>
      <c r="G662" s="310"/>
      <c r="H662" s="310"/>
      <c r="I662" s="310"/>
      <c r="J662" s="310"/>
      <c r="K662" s="310"/>
      <c r="L662" s="70"/>
    </row>
    <row r="663" spans="1:12">
      <c r="A663" s="310"/>
      <c r="B663" s="362"/>
      <c r="C663" s="362"/>
      <c r="D663" s="310"/>
      <c r="E663" s="310"/>
      <c r="F663" s="362"/>
      <c r="G663" s="310"/>
      <c r="H663" s="310"/>
      <c r="I663" s="310"/>
      <c r="J663" s="310"/>
      <c r="K663" s="310"/>
      <c r="L663" s="70"/>
    </row>
    <row r="664" spans="1:12">
      <c r="A664" s="310"/>
      <c r="B664" s="362"/>
      <c r="C664" s="362"/>
      <c r="D664" s="310"/>
      <c r="E664" s="310"/>
      <c r="F664" s="362"/>
      <c r="G664" s="310"/>
      <c r="H664" s="310"/>
      <c r="I664" s="310"/>
      <c r="J664" s="310"/>
      <c r="K664" s="310"/>
      <c r="L664" s="70"/>
    </row>
    <row r="665" spans="1:12">
      <c r="A665" s="617"/>
      <c r="B665" s="618"/>
      <c r="C665" s="588"/>
      <c r="D665" s="589"/>
      <c r="E665" s="589"/>
      <c r="F665" s="589"/>
      <c r="G665" s="589"/>
      <c r="H665" s="589"/>
      <c r="I665" s="595"/>
      <c r="J665" s="310"/>
      <c r="K665" s="310"/>
      <c r="L665" s="70"/>
    </row>
    <row r="666" spans="1:12">
      <c r="A666" s="619"/>
      <c r="B666" s="428"/>
      <c r="C666" s="588"/>
      <c r="D666" s="589"/>
      <c r="E666" s="595"/>
      <c r="F666" s="622"/>
      <c r="G666" s="623"/>
      <c r="H666" s="623"/>
      <c r="I666" s="624"/>
      <c r="J666" s="310"/>
      <c r="K666" s="310"/>
      <c r="L666" s="70"/>
    </row>
    <row r="667" spans="1:12">
      <c r="A667" s="620"/>
      <c r="B667" s="428"/>
      <c r="C667" s="588"/>
      <c r="D667" s="589"/>
      <c r="E667" s="595"/>
      <c r="F667" s="625"/>
      <c r="G667" s="626"/>
      <c r="H667" s="626"/>
      <c r="I667" s="627"/>
      <c r="J667" s="310"/>
      <c r="K667" s="310"/>
      <c r="L667" s="70"/>
    </row>
    <row r="668" spans="1:12">
      <c r="A668" s="621"/>
      <c r="B668" s="428"/>
      <c r="C668" s="588"/>
      <c r="D668" s="589"/>
      <c r="E668" s="595"/>
      <c r="F668" s="622"/>
      <c r="G668" s="623"/>
      <c r="H668" s="623"/>
      <c r="I668" s="624"/>
      <c r="J668" s="310"/>
      <c r="K668" s="310"/>
      <c r="L668" s="70"/>
    </row>
    <row r="669" spans="1:12">
      <c r="A669" s="620"/>
      <c r="B669" s="428"/>
      <c r="C669" s="588"/>
      <c r="D669" s="589"/>
      <c r="E669" s="595"/>
      <c r="F669" s="625"/>
      <c r="G669" s="626"/>
      <c r="H669" s="626"/>
      <c r="I669" s="627"/>
      <c r="J669" s="310"/>
      <c r="K669" s="310"/>
      <c r="L669" s="70"/>
    </row>
    <row r="670" spans="1:12">
      <c r="A670" s="310"/>
      <c r="B670" s="362"/>
      <c r="C670" s="362"/>
      <c r="D670" s="310"/>
      <c r="E670" s="310"/>
      <c r="F670" s="362"/>
      <c r="G670" s="310"/>
      <c r="H670" s="310"/>
      <c r="I670" s="310"/>
      <c r="J670" s="310"/>
      <c r="K670" s="310"/>
      <c r="L670" s="70"/>
    </row>
    <row r="671" spans="1:12">
      <c r="A671" s="310"/>
      <c r="B671" s="362"/>
      <c r="C671" s="362"/>
      <c r="D671" s="310"/>
      <c r="E671" s="310"/>
      <c r="F671" s="362"/>
      <c r="G671" s="310"/>
      <c r="H671" s="310"/>
      <c r="I671" s="310"/>
      <c r="J671" s="310"/>
      <c r="K671" s="310"/>
      <c r="L671" s="70"/>
    </row>
    <row r="672" spans="1:12">
      <c r="A672" s="433" t="s">
        <v>762</v>
      </c>
      <c r="B672" s="362"/>
      <c r="C672" s="362"/>
      <c r="D672" s="310"/>
      <c r="E672" s="310"/>
      <c r="F672" s="362"/>
      <c r="G672" s="310"/>
      <c r="H672" s="310"/>
      <c r="I672" s="310"/>
      <c r="J672" s="310"/>
      <c r="K672" s="310"/>
      <c r="L672" s="70"/>
    </row>
    <row r="673" spans="1:12">
      <c r="A673" s="310"/>
      <c r="B673" s="310" t="s">
        <v>209</v>
      </c>
      <c r="C673" s="362"/>
      <c r="D673" s="310"/>
      <c r="E673" s="310"/>
      <c r="F673" s="362"/>
      <c r="G673" s="310"/>
      <c r="H673" s="310"/>
      <c r="I673" s="310"/>
      <c r="J673" s="310"/>
      <c r="K673" s="310"/>
      <c r="L673" s="70"/>
    </row>
    <row r="674" spans="1:12">
      <c r="A674" s="617" t="s">
        <v>210</v>
      </c>
      <c r="B674" s="618"/>
      <c r="C674" s="588" t="s">
        <v>206</v>
      </c>
      <c r="D674" s="589"/>
      <c r="E674" s="589"/>
      <c r="F674" s="589"/>
      <c r="G674" s="589"/>
      <c r="H674" s="589"/>
      <c r="I674" s="595"/>
      <c r="J674" s="310"/>
      <c r="K674" s="310"/>
      <c r="L674" s="70"/>
    </row>
    <row r="675" spans="1:12" ht="18.75" customHeight="1">
      <c r="A675" s="621" t="s">
        <v>201</v>
      </c>
      <c r="B675" s="428" t="s">
        <v>202</v>
      </c>
      <c r="C675" s="588" t="s">
        <v>226</v>
      </c>
      <c r="D675" s="589"/>
      <c r="E675" s="595"/>
      <c r="F675" s="622" t="s">
        <v>213</v>
      </c>
      <c r="G675" s="623"/>
      <c r="H675" s="623"/>
      <c r="I675" s="624"/>
      <c r="J675" s="310"/>
      <c r="K675" s="310"/>
      <c r="L675" s="70"/>
    </row>
    <row r="676" spans="1:12">
      <c r="A676" s="620"/>
      <c r="B676" s="428" t="s">
        <v>203</v>
      </c>
      <c r="C676" s="588" t="s">
        <v>226</v>
      </c>
      <c r="D676" s="589"/>
      <c r="E676" s="595"/>
      <c r="F676" s="625"/>
      <c r="G676" s="626"/>
      <c r="H676" s="626"/>
      <c r="I676" s="627"/>
      <c r="J676" s="310"/>
      <c r="K676" s="310"/>
      <c r="L676" s="70"/>
    </row>
    <row r="677" spans="1:12" ht="18.75" customHeight="1">
      <c r="A677" s="621" t="s">
        <v>201</v>
      </c>
      <c r="B677" s="428" t="s">
        <v>204</v>
      </c>
      <c r="C677" s="588" t="s">
        <v>226</v>
      </c>
      <c r="D677" s="589"/>
      <c r="E677" s="595"/>
      <c r="F677" s="622" t="s">
        <v>213</v>
      </c>
      <c r="G677" s="623"/>
      <c r="H677" s="623"/>
      <c r="I677" s="624"/>
      <c r="J677" s="310"/>
      <c r="K677" s="310"/>
      <c r="L677" s="70"/>
    </row>
    <row r="678" spans="1:12">
      <c r="A678" s="620"/>
      <c r="B678" s="428" t="s">
        <v>205</v>
      </c>
      <c r="C678" s="588" t="s">
        <v>226</v>
      </c>
      <c r="D678" s="589"/>
      <c r="E678" s="595"/>
      <c r="F678" s="625"/>
      <c r="G678" s="626"/>
      <c r="H678" s="626"/>
      <c r="I678" s="627"/>
      <c r="J678" s="310"/>
      <c r="K678" s="310"/>
      <c r="L678" s="70"/>
    </row>
    <row r="679" spans="1:12">
      <c r="A679" s="310"/>
      <c r="B679" s="362"/>
      <c r="C679" s="362"/>
      <c r="D679" s="310"/>
      <c r="E679" s="310"/>
      <c r="F679" s="362"/>
      <c r="G679" s="310"/>
      <c r="H679" s="310"/>
      <c r="I679" s="310"/>
      <c r="J679" s="310"/>
      <c r="K679" s="310"/>
      <c r="L679" s="70"/>
    </row>
    <row r="680" spans="1:12">
      <c r="A680" s="310"/>
      <c r="B680" s="310" t="s">
        <v>211</v>
      </c>
      <c r="C680" s="362"/>
      <c r="D680" s="310"/>
      <c r="E680" s="310"/>
      <c r="F680" s="362"/>
      <c r="G680" s="310"/>
      <c r="H680" s="310"/>
      <c r="I680" s="310"/>
      <c r="J680" s="310"/>
      <c r="K680" s="310"/>
      <c r="L680" s="70"/>
    </row>
    <row r="681" spans="1:12">
      <c r="A681" s="617" t="s">
        <v>215</v>
      </c>
      <c r="B681" s="618"/>
      <c r="C681" s="588" t="s">
        <v>206</v>
      </c>
      <c r="D681" s="589"/>
      <c r="E681" s="589"/>
      <c r="F681" s="589"/>
      <c r="G681" s="589"/>
      <c r="H681" s="589"/>
      <c r="I681" s="595"/>
      <c r="J681" s="310"/>
      <c r="K681" s="310"/>
      <c r="L681" s="70"/>
    </row>
    <row r="682" spans="1:12">
      <c r="A682" s="621" t="s">
        <v>201</v>
      </c>
      <c r="B682" s="428" t="s">
        <v>202</v>
      </c>
      <c r="C682" s="588">
        <v>0</v>
      </c>
      <c r="D682" s="589"/>
      <c r="E682" s="595"/>
      <c r="F682" s="622">
        <v>0</v>
      </c>
      <c r="G682" s="623"/>
      <c r="H682" s="623"/>
      <c r="I682" s="624"/>
      <c r="J682" s="310"/>
      <c r="K682" s="310"/>
      <c r="L682" s="70"/>
    </row>
    <row r="683" spans="1:12">
      <c r="A683" s="620"/>
      <c r="B683" s="428" t="s">
        <v>203</v>
      </c>
      <c r="C683" s="588">
        <v>0</v>
      </c>
      <c r="D683" s="589"/>
      <c r="E683" s="595"/>
      <c r="F683" s="625"/>
      <c r="G683" s="626"/>
      <c r="H683" s="626"/>
      <c r="I683" s="627"/>
      <c r="J683" s="310"/>
      <c r="K683" s="310"/>
      <c r="L683" s="70"/>
    </row>
    <row r="684" spans="1:12">
      <c r="A684" s="621" t="s">
        <v>201</v>
      </c>
      <c r="B684" s="428" t="s">
        <v>204</v>
      </c>
      <c r="C684" s="588">
        <v>0</v>
      </c>
      <c r="D684" s="589"/>
      <c r="E684" s="595"/>
      <c r="F684" s="622">
        <v>0</v>
      </c>
      <c r="G684" s="623"/>
      <c r="H684" s="623"/>
      <c r="I684" s="624"/>
      <c r="J684" s="310"/>
      <c r="K684" s="310"/>
      <c r="L684" s="70"/>
    </row>
    <row r="685" spans="1:12">
      <c r="A685" s="620"/>
      <c r="B685" s="428" t="s">
        <v>205</v>
      </c>
      <c r="C685" s="588">
        <v>0</v>
      </c>
      <c r="D685" s="589"/>
      <c r="E685" s="595"/>
      <c r="F685" s="625"/>
      <c r="G685" s="626"/>
      <c r="H685" s="626"/>
      <c r="I685" s="627"/>
      <c r="J685" s="310"/>
      <c r="K685" s="310"/>
      <c r="L685" s="70"/>
    </row>
    <row r="686" spans="1:12">
      <c r="A686" s="310"/>
      <c r="B686" s="362"/>
      <c r="C686" s="362"/>
      <c r="D686" s="310"/>
      <c r="E686" s="310"/>
      <c r="F686" s="362"/>
      <c r="G686" s="310"/>
      <c r="H686" s="310"/>
      <c r="I686" s="310"/>
      <c r="J686" s="310"/>
      <c r="K686" s="310"/>
      <c r="L686" s="70"/>
    </row>
    <row r="687" spans="1:12">
      <c r="A687" s="310"/>
      <c r="B687" s="310" t="s">
        <v>212</v>
      </c>
      <c r="C687" s="362"/>
      <c r="D687" s="310"/>
      <c r="E687" s="310"/>
      <c r="F687" s="362"/>
      <c r="G687" s="310"/>
      <c r="H687" s="310"/>
      <c r="I687" s="310"/>
      <c r="J687" s="310"/>
      <c r="K687" s="310"/>
      <c r="L687" s="70"/>
    </row>
    <row r="688" spans="1:12">
      <c r="A688" s="631" t="s">
        <v>216</v>
      </c>
      <c r="B688" s="632"/>
      <c r="C688" s="588" t="s">
        <v>206</v>
      </c>
      <c r="D688" s="589"/>
      <c r="E688" s="589"/>
      <c r="F688" s="589"/>
      <c r="G688" s="589"/>
      <c r="H688" s="589"/>
      <c r="I688" s="595"/>
      <c r="J688" s="310"/>
      <c r="K688" s="310"/>
      <c r="L688" s="70"/>
    </row>
    <row r="689" spans="1:12" ht="18.75" customHeight="1">
      <c r="A689" s="619" t="s">
        <v>200</v>
      </c>
      <c r="B689" s="428" t="s">
        <v>202</v>
      </c>
      <c r="C689" s="588" t="s">
        <v>218</v>
      </c>
      <c r="D689" s="589"/>
      <c r="E689" s="595"/>
      <c r="F689" s="622" t="s">
        <v>219</v>
      </c>
      <c r="G689" s="623"/>
      <c r="H689" s="623"/>
      <c r="I689" s="624"/>
      <c r="J689" s="310"/>
      <c r="K689" s="310"/>
      <c r="L689" s="70"/>
    </row>
    <row r="690" spans="1:12">
      <c r="A690" s="620"/>
      <c r="B690" s="428" t="s">
        <v>203</v>
      </c>
      <c r="C690" s="588" t="s">
        <v>218</v>
      </c>
      <c r="D690" s="589"/>
      <c r="E690" s="595"/>
      <c r="F690" s="625"/>
      <c r="G690" s="626"/>
      <c r="H690" s="626"/>
      <c r="I690" s="627"/>
      <c r="J690" s="310"/>
      <c r="K690" s="310"/>
      <c r="L690" s="70"/>
    </row>
    <row r="691" spans="1:12" ht="18.75" customHeight="1">
      <c r="A691" s="621" t="s">
        <v>201</v>
      </c>
      <c r="B691" s="428" t="s">
        <v>204</v>
      </c>
      <c r="C691" s="588" t="s">
        <v>218</v>
      </c>
      <c r="D691" s="589"/>
      <c r="E691" s="595"/>
      <c r="F691" s="622" t="s">
        <v>214</v>
      </c>
      <c r="G691" s="623"/>
      <c r="H691" s="623"/>
      <c r="I691" s="624"/>
      <c r="J691" s="310"/>
      <c r="K691" s="310"/>
      <c r="L691" s="70"/>
    </row>
    <row r="692" spans="1:12">
      <c r="A692" s="620"/>
      <c r="B692" s="428" t="s">
        <v>205</v>
      </c>
      <c r="C692" s="588" t="s">
        <v>218</v>
      </c>
      <c r="D692" s="589"/>
      <c r="E692" s="595"/>
      <c r="F692" s="625"/>
      <c r="G692" s="626"/>
      <c r="H692" s="626"/>
      <c r="I692" s="627"/>
      <c r="J692" s="310"/>
      <c r="K692" s="310"/>
      <c r="L692" s="70"/>
    </row>
    <row r="693" spans="1:12">
      <c r="A693" s="70"/>
      <c r="B693" s="429"/>
      <c r="C693" s="429"/>
      <c r="D693" s="70"/>
      <c r="E693" s="70"/>
      <c r="F693" s="429"/>
      <c r="G693" s="70"/>
      <c r="H693" s="70"/>
      <c r="I693" s="70"/>
      <c r="J693" s="70"/>
      <c r="K693" s="70"/>
      <c r="L693" s="70"/>
    </row>
    <row r="694" spans="1:12">
      <c r="A694" s="70"/>
      <c r="B694" s="429"/>
      <c r="C694" s="429"/>
      <c r="D694" s="70"/>
      <c r="E694" s="70"/>
      <c r="F694" s="429"/>
      <c r="G694" s="70"/>
      <c r="H694" s="70"/>
      <c r="I694" s="70"/>
      <c r="J694" s="70"/>
      <c r="K694" s="70"/>
      <c r="L694" s="70"/>
    </row>
    <row r="695" spans="1:12">
      <c r="A695" s="70"/>
      <c r="B695" s="429"/>
      <c r="C695" s="429"/>
      <c r="D695" s="70"/>
      <c r="E695" s="70"/>
      <c r="F695" s="429"/>
      <c r="G695" s="70"/>
      <c r="H695" s="70"/>
      <c r="I695" s="70"/>
      <c r="J695" s="70"/>
      <c r="K695" s="70"/>
      <c r="L695" s="70"/>
    </row>
    <row r="696" spans="1:12">
      <c r="A696" s="70"/>
      <c r="B696" s="429"/>
      <c r="C696" s="429"/>
      <c r="D696" s="70"/>
      <c r="E696" s="70"/>
      <c r="F696" s="429"/>
      <c r="G696" s="70"/>
      <c r="H696" s="70"/>
      <c r="I696" s="70"/>
      <c r="J696" s="70"/>
      <c r="K696" s="70"/>
      <c r="L696" s="70"/>
    </row>
    <row r="697" spans="1:12">
      <c r="A697" s="70"/>
      <c r="B697" s="429"/>
      <c r="C697" s="429"/>
      <c r="D697" s="70"/>
      <c r="E697" s="70"/>
      <c r="F697" s="429"/>
      <c r="G697" s="70"/>
      <c r="H697" s="70"/>
      <c r="I697" s="70"/>
      <c r="J697" s="70"/>
      <c r="K697" s="70"/>
      <c r="L697" s="70"/>
    </row>
    <row r="698" spans="1:12">
      <c r="A698" s="70"/>
      <c r="B698" s="429"/>
      <c r="C698" s="429"/>
      <c r="D698" s="70"/>
      <c r="E698" s="70"/>
      <c r="F698" s="429"/>
      <c r="G698" s="70"/>
      <c r="H698" s="70"/>
      <c r="I698" s="70"/>
      <c r="J698" s="70"/>
      <c r="K698" s="70"/>
      <c r="L698" s="70"/>
    </row>
    <row r="699" spans="1:12">
      <c r="A699" s="70"/>
      <c r="B699" s="429"/>
      <c r="C699" s="429"/>
      <c r="D699" s="70"/>
      <c r="E699" s="70"/>
      <c r="F699" s="429"/>
      <c r="G699" s="70"/>
      <c r="H699" s="70"/>
      <c r="I699" s="70"/>
      <c r="J699" s="70"/>
      <c r="K699" s="70"/>
      <c r="L699" s="70"/>
    </row>
    <row r="700" spans="1:12">
      <c r="A700" s="70"/>
      <c r="B700" s="429"/>
      <c r="C700" s="429"/>
      <c r="D700" s="70"/>
      <c r="E700" s="70"/>
      <c r="F700" s="429"/>
      <c r="G700" s="70"/>
      <c r="H700" s="70"/>
      <c r="I700" s="70"/>
      <c r="J700" s="70"/>
      <c r="K700" s="70"/>
      <c r="L700" s="70"/>
    </row>
    <row r="701" spans="1:12">
      <c r="A701" s="70"/>
      <c r="B701" s="429"/>
      <c r="C701" s="429"/>
      <c r="D701" s="70"/>
      <c r="E701" s="70"/>
      <c r="F701" s="429"/>
      <c r="G701" s="70"/>
      <c r="H701" s="70"/>
      <c r="I701" s="70"/>
      <c r="J701" s="70"/>
      <c r="K701" s="70"/>
      <c r="L701" s="70"/>
    </row>
    <row r="702" spans="1:12">
      <c r="A702" s="70"/>
      <c r="B702" s="429"/>
      <c r="C702" s="429"/>
      <c r="D702" s="70"/>
      <c r="E702" s="70"/>
      <c r="F702" s="429"/>
      <c r="G702" s="70"/>
      <c r="H702" s="70"/>
      <c r="I702" s="70"/>
      <c r="J702" s="70"/>
      <c r="K702" s="70"/>
      <c r="L702" s="70"/>
    </row>
    <row r="703" spans="1:12">
      <c r="A703" s="70"/>
      <c r="B703" s="429"/>
      <c r="C703" s="429"/>
      <c r="D703" s="70"/>
      <c r="E703" s="70"/>
      <c r="F703" s="429"/>
      <c r="G703" s="70"/>
      <c r="H703" s="70"/>
      <c r="I703" s="70"/>
      <c r="J703" s="70"/>
      <c r="K703" s="70"/>
      <c r="L703" s="70"/>
    </row>
    <row r="704" spans="1:12">
      <c r="A704" s="70"/>
      <c r="B704" s="429"/>
      <c r="C704" s="429"/>
      <c r="D704" s="70"/>
      <c r="E704" s="70"/>
      <c r="F704" s="429"/>
      <c r="G704" s="70"/>
      <c r="H704" s="70"/>
      <c r="I704" s="70"/>
      <c r="J704" s="70"/>
      <c r="K704" s="70"/>
      <c r="L704" s="70"/>
    </row>
    <row r="705" spans="1:12">
      <c r="A705" s="70"/>
      <c r="B705" s="429"/>
      <c r="C705" s="429"/>
      <c r="D705" s="70"/>
      <c r="E705" s="70"/>
      <c r="F705" s="429"/>
      <c r="G705" s="70"/>
      <c r="H705" s="70"/>
      <c r="I705" s="70"/>
      <c r="J705" s="70"/>
      <c r="K705" s="70"/>
      <c r="L705" s="70"/>
    </row>
    <row r="706" spans="1:12">
      <c r="A706" s="70"/>
      <c r="B706" s="429"/>
      <c r="C706" s="429"/>
      <c r="D706" s="70"/>
      <c r="E706" s="70"/>
      <c r="F706" s="429"/>
      <c r="G706" s="70"/>
      <c r="H706" s="70"/>
      <c r="I706" s="70"/>
      <c r="J706" s="70"/>
      <c r="K706" s="70"/>
      <c r="L706" s="70"/>
    </row>
    <row r="707" spans="1:12">
      <c r="A707" s="70"/>
      <c r="B707" s="429"/>
      <c r="C707" s="429"/>
      <c r="D707" s="70"/>
      <c r="E707" s="70"/>
      <c r="F707" s="429"/>
      <c r="G707" s="70"/>
      <c r="H707" s="70"/>
      <c r="I707" s="70"/>
      <c r="J707" s="70"/>
      <c r="K707" s="70"/>
      <c r="L707" s="70"/>
    </row>
    <row r="708" spans="1:12">
      <c r="A708" s="70"/>
      <c r="B708" s="429"/>
      <c r="C708" s="429"/>
      <c r="D708" s="70"/>
      <c r="E708" s="70"/>
      <c r="F708" s="429"/>
      <c r="G708" s="70"/>
      <c r="H708" s="70"/>
      <c r="I708" s="70"/>
      <c r="J708" s="70"/>
      <c r="K708" s="70"/>
      <c r="L708" s="70"/>
    </row>
    <row r="709" spans="1:12">
      <c r="A709" s="70"/>
      <c r="B709" s="429"/>
      <c r="C709" s="429"/>
      <c r="D709" s="70"/>
      <c r="E709" s="70"/>
      <c r="F709" s="429"/>
      <c r="G709" s="70"/>
      <c r="H709" s="70"/>
      <c r="I709" s="70"/>
      <c r="J709" s="70"/>
      <c r="K709" s="70"/>
      <c r="L709" s="70"/>
    </row>
    <row r="710" spans="1:12">
      <c r="A710" s="70"/>
      <c r="B710" s="429"/>
      <c r="C710" s="429"/>
      <c r="D710" s="70"/>
      <c r="E710" s="70"/>
      <c r="F710" s="429"/>
      <c r="G710" s="70"/>
      <c r="H710" s="70"/>
      <c r="I710" s="70"/>
      <c r="J710" s="70"/>
      <c r="K710" s="70"/>
      <c r="L710" s="70"/>
    </row>
    <row r="711" spans="1:12">
      <c r="A711" s="70"/>
      <c r="B711" s="429"/>
      <c r="C711" s="429"/>
      <c r="D711" s="70"/>
      <c r="E711" s="70"/>
      <c r="F711" s="429"/>
      <c r="G711" s="70"/>
      <c r="H711" s="70"/>
      <c r="I711" s="70"/>
      <c r="J711" s="70"/>
      <c r="K711" s="70"/>
      <c r="L711" s="70"/>
    </row>
    <row r="712" spans="1:12">
      <c r="A712" s="70"/>
      <c r="B712" s="429"/>
      <c r="C712" s="429"/>
      <c r="D712" s="70"/>
      <c r="E712" s="70"/>
      <c r="F712" s="429"/>
      <c r="G712" s="70"/>
      <c r="H712" s="70"/>
      <c r="I712" s="70"/>
      <c r="J712" s="70"/>
      <c r="K712" s="70"/>
      <c r="L712" s="70"/>
    </row>
    <row r="713" spans="1:12">
      <c r="A713" s="70"/>
      <c r="B713" s="429"/>
      <c r="C713" s="429"/>
      <c r="D713" s="70"/>
      <c r="E713" s="70"/>
      <c r="F713" s="429"/>
      <c r="G713" s="70"/>
      <c r="H713" s="70"/>
      <c r="I713" s="70"/>
      <c r="J713" s="70"/>
      <c r="K713" s="70"/>
      <c r="L713" s="70"/>
    </row>
    <row r="714" spans="1:12">
      <c r="A714" s="70"/>
      <c r="B714" s="429"/>
      <c r="C714" s="429"/>
      <c r="D714" s="70"/>
      <c r="E714" s="70"/>
      <c r="F714" s="429"/>
      <c r="G714" s="70"/>
      <c r="H714" s="70"/>
      <c r="I714" s="70"/>
      <c r="J714" s="70"/>
      <c r="K714" s="70"/>
      <c r="L714" s="70"/>
    </row>
    <row r="715" spans="1:12">
      <c r="A715" s="70"/>
      <c r="B715" s="429"/>
      <c r="C715" s="429"/>
      <c r="D715" s="70"/>
      <c r="E715" s="70"/>
      <c r="F715" s="429"/>
      <c r="G715" s="70"/>
      <c r="H715" s="70"/>
      <c r="I715" s="70"/>
      <c r="J715" s="70"/>
      <c r="K715" s="70"/>
      <c r="L715" s="70"/>
    </row>
    <row r="716" spans="1:12">
      <c r="A716" s="70"/>
      <c r="B716" s="429"/>
      <c r="C716" s="429"/>
      <c r="D716" s="70"/>
      <c r="E716" s="70"/>
      <c r="F716" s="429"/>
      <c r="G716" s="70"/>
      <c r="H716" s="70"/>
      <c r="I716" s="70"/>
      <c r="J716" s="70"/>
      <c r="K716" s="70"/>
      <c r="L716" s="70"/>
    </row>
    <row r="717" spans="1:12">
      <c r="A717" s="70"/>
      <c r="B717" s="429"/>
      <c r="C717" s="429"/>
      <c r="D717" s="70"/>
      <c r="E717" s="70"/>
      <c r="F717" s="429"/>
      <c r="G717" s="70"/>
      <c r="H717" s="70"/>
      <c r="I717" s="70"/>
      <c r="J717" s="70"/>
      <c r="K717" s="70"/>
      <c r="L717" s="70"/>
    </row>
    <row r="718" spans="1:12">
      <c r="A718" s="70"/>
      <c r="B718" s="429"/>
      <c r="C718" s="429"/>
      <c r="D718" s="70"/>
      <c r="E718" s="70"/>
      <c r="F718" s="429"/>
      <c r="G718" s="70"/>
      <c r="H718" s="70"/>
      <c r="I718" s="70"/>
      <c r="J718" s="70"/>
      <c r="K718" s="70"/>
      <c r="L718" s="70"/>
    </row>
    <row r="719" spans="1:12">
      <c r="A719" s="70"/>
      <c r="B719" s="429"/>
      <c r="C719" s="429"/>
      <c r="D719" s="70"/>
      <c r="E719" s="70"/>
      <c r="F719" s="429"/>
      <c r="G719" s="70"/>
      <c r="H719" s="70"/>
      <c r="I719" s="70"/>
      <c r="J719" s="70"/>
      <c r="K719" s="70"/>
      <c r="L719" s="70"/>
    </row>
    <row r="720" spans="1:12">
      <c r="A720" s="70"/>
      <c r="B720" s="429"/>
      <c r="C720" s="429"/>
      <c r="D720" s="70"/>
      <c r="E720" s="70"/>
      <c r="F720" s="429"/>
      <c r="G720" s="70"/>
      <c r="H720" s="70"/>
      <c r="I720" s="70"/>
      <c r="J720" s="70"/>
      <c r="K720" s="70"/>
      <c r="L720" s="70"/>
    </row>
    <row r="721" spans="1:12">
      <c r="A721" s="70"/>
      <c r="B721" s="429"/>
      <c r="C721" s="429"/>
      <c r="D721" s="70"/>
      <c r="E721" s="70"/>
      <c r="F721" s="429"/>
      <c r="G721" s="70"/>
      <c r="H721" s="70"/>
      <c r="I721" s="70"/>
      <c r="J721" s="70"/>
      <c r="K721" s="70"/>
      <c r="L721" s="70"/>
    </row>
    <row r="722" spans="1:12">
      <c r="A722" s="70"/>
      <c r="B722" s="429"/>
      <c r="C722" s="429"/>
      <c r="D722" s="70"/>
      <c r="E722" s="70"/>
      <c r="F722" s="429"/>
      <c r="G722" s="70"/>
      <c r="H722" s="70"/>
      <c r="I722" s="70"/>
      <c r="J722" s="70"/>
      <c r="K722" s="70"/>
      <c r="L722" s="70"/>
    </row>
  </sheetData>
  <protectedRanges>
    <protectedRange sqref="M227" name="Plage1"/>
  </protectedRanges>
  <mergeCells count="363">
    <mergeCell ref="A615:B615"/>
    <mergeCell ref="C615:I615"/>
    <mergeCell ref="A415:A416"/>
    <mergeCell ref="A425:A426"/>
    <mergeCell ref="A633:B633"/>
    <mergeCell ref="C633:I633"/>
    <mergeCell ref="A178:E178"/>
    <mergeCell ref="A179:E179"/>
    <mergeCell ref="A180:D180"/>
    <mergeCell ref="A185:B185"/>
    <mergeCell ref="B243:C243"/>
    <mergeCell ref="G246:H246"/>
    <mergeCell ref="A186:B186"/>
    <mergeCell ref="C185:D185"/>
    <mergeCell ref="C186:D186"/>
    <mergeCell ref="F194:G194"/>
    <mergeCell ref="H194:I194"/>
    <mergeCell ref="D197:E197"/>
    <mergeCell ref="F197:G197"/>
    <mergeCell ref="D198:E198"/>
    <mergeCell ref="F198:G198"/>
    <mergeCell ref="D199:E199"/>
    <mergeCell ref="F199:G199"/>
    <mergeCell ref="I291:J291"/>
    <mergeCell ref="B190:G190"/>
    <mergeCell ref="F192:G192"/>
    <mergeCell ref="H192:I192"/>
    <mergeCell ref="F196:G196"/>
    <mergeCell ref="C216:D216"/>
    <mergeCell ref="E216:F216"/>
    <mergeCell ref="E2:J2"/>
    <mergeCell ref="A177:E177"/>
    <mergeCell ref="B173:C173"/>
    <mergeCell ref="B175:C175"/>
    <mergeCell ref="A154:B154"/>
    <mergeCell ref="C157:D157"/>
    <mergeCell ref="C158:D158"/>
    <mergeCell ref="C159:D159"/>
    <mergeCell ref="D152:E152"/>
    <mergeCell ref="A153:B153"/>
    <mergeCell ref="D153:E153"/>
    <mergeCell ref="A152:B152"/>
    <mergeCell ref="B138:D138"/>
    <mergeCell ref="E1:G1"/>
    <mergeCell ref="I1:K1"/>
    <mergeCell ref="N384:Q384"/>
    <mergeCell ref="A688:B688"/>
    <mergeCell ref="C688:I688"/>
    <mergeCell ref="A689:A690"/>
    <mergeCell ref="C689:E689"/>
    <mergeCell ref="F689:I690"/>
    <mergeCell ref="C690:E690"/>
    <mergeCell ref="A674:B674"/>
    <mergeCell ref="C674:I674"/>
    <mergeCell ref="A675:A676"/>
    <mergeCell ref="C675:E675"/>
    <mergeCell ref="F675:I676"/>
    <mergeCell ref="C676:E676"/>
    <mergeCell ref="A677:A678"/>
    <mergeCell ref="C677:E677"/>
    <mergeCell ref="F677:I678"/>
    <mergeCell ref="C678:E678"/>
    <mergeCell ref="A665:B665"/>
    <mergeCell ref="C665:I665"/>
    <mergeCell ref="A666:A667"/>
    <mergeCell ref="C666:E666"/>
    <mergeCell ref="C667:E667"/>
    <mergeCell ref="A691:A692"/>
    <mergeCell ref="C691:E691"/>
    <mergeCell ref="C692:E692"/>
    <mergeCell ref="A681:B681"/>
    <mergeCell ref="C681:I681"/>
    <mergeCell ref="A682:A683"/>
    <mergeCell ref="C682:E682"/>
    <mergeCell ref="C683:E683"/>
    <mergeCell ref="A684:A685"/>
    <mergeCell ref="C684:E684"/>
    <mergeCell ref="C685:E685"/>
    <mergeCell ref="F691:I692"/>
    <mergeCell ref="F684:I685"/>
    <mergeCell ref="F682:I683"/>
    <mergeCell ref="A652:B652"/>
    <mergeCell ref="C652:I652"/>
    <mergeCell ref="A653:A654"/>
    <mergeCell ref="C653:E653"/>
    <mergeCell ref="C654:E654"/>
    <mergeCell ref="A655:A656"/>
    <mergeCell ref="C655:E655"/>
    <mergeCell ref="C656:E656"/>
    <mergeCell ref="F668:I669"/>
    <mergeCell ref="F666:I667"/>
    <mergeCell ref="F655:I656"/>
    <mergeCell ref="F653:I654"/>
    <mergeCell ref="A668:A669"/>
    <mergeCell ref="C668:E668"/>
    <mergeCell ref="C669:E669"/>
    <mergeCell ref="A645:B645"/>
    <mergeCell ref="C645:I645"/>
    <mergeCell ref="A646:A647"/>
    <mergeCell ref="C646:E646"/>
    <mergeCell ref="C647:E647"/>
    <mergeCell ref="A648:A649"/>
    <mergeCell ref="C648:E648"/>
    <mergeCell ref="C649:E649"/>
    <mergeCell ref="A639:B639"/>
    <mergeCell ref="C639:I639"/>
    <mergeCell ref="A640:A641"/>
    <mergeCell ref="C640:E640"/>
    <mergeCell ref="C641:E641"/>
    <mergeCell ref="A642:A643"/>
    <mergeCell ref="C642:E642"/>
    <mergeCell ref="C643:E643"/>
    <mergeCell ref="F642:I643"/>
    <mergeCell ref="F640:I641"/>
    <mergeCell ref="F648:I649"/>
    <mergeCell ref="F646:I647"/>
    <mergeCell ref="A634:A635"/>
    <mergeCell ref="C634:E634"/>
    <mergeCell ref="C635:E635"/>
    <mergeCell ref="A636:A637"/>
    <mergeCell ref="C636:E636"/>
    <mergeCell ref="C637:E637"/>
    <mergeCell ref="A627:B627"/>
    <mergeCell ref="C627:I627"/>
    <mergeCell ref="A628:A629"/>
    <mergeCell ref="C628:E628"/>
    <mergeCell ref="C629:E629"/>
    <mergeCell ref="A630:A631"/>
    <mergeCell ref="C630:E630"/>
    <mergeCell ref="C631:E631"/>
    <mergeCell ref="F630:I631"/>
    <mergeCell ref="F628:I629"/>
    <mergeCell ref="F636:I637"/>
    <mergeCell ref="F634:I635"/>
    <mergeCell ref="A621:B621"/>
    <mergeCell ref="C621:I621"/>
    <mergeCell ref="A622:A623"/>
    <mergeCell ref="C622:E622"/>
    <mergeCell ref="C623:E623"/>
    <mergeCell ref="A624:A625"/>
    <mergeCell ref="C624:E624"/>
    <mergeCell ref="C625:E625"/>
    <mergeCell ref="A616:A617"/>
    <mergeCell ref="A618:A619"/>
    <mergeCell ref="F616:I617"/>
    <mergeCell ref="F618:I619"/>
    <mergeCell ref="C616:E616"/>
    <mergeCell ref="C617:E617"/>
    <mergeCell ref="C618:E618"/>
    <mergeCell ref="C619:E619"/>
    <mergeCell ref="F624:I625"/>
    <mergeCell ref="F622:I623"/>
    <mergeCell ref="G459:H459"/>
    <mergeCell ref="G473:H473"/>
    <mergeCell ref="E481:E482"/>
    <mergeCell ref="F481:F482"/>
    <mergeCell ref="E493:E494"/>
    <mergeCell ref="A481:A483"/>
    <mergeCell ref="B481:B483"/>
    <mergeCell ref="C481:D482"/>
    <mergeCell ref="A486:A488"/>
    <mergeCell ref="B486:B488"/>
    <mergeCell ref="C486:D487"/>
    <mergeCell ref="A489:A490"/>
    <mergeCell ref="B493:B495"/>
    <mergeCell ref="C493:D494"/>
    <mergeCell ref="F493:F494"/>
    <mergeCell ref="A503:A505"/>
    <mergeCell ref="A517:A519"/>
    <mergeCell ref="B517:B519"/>
    <mergeCell ref="C517:D518"/>
    <mergeCell ref="F517:F518"/>
    <mergeCell ref="I473:I474"/>
    <mergeCell ref="G496:H496"/>
    <mergeCell ref="G497:H497"/>
    <mergeCell ref="A473:A475"/>
    <mergeCell ref="A476:A477"/>
    <mergeCell ref="A484:A485"/>
    <mergeCell ref="I481:I482"/>
    <mergeCell ref="G481:G482"/>
    <mergeCell ref="E517:E518"/>
    <mergeCell ref="Q532:R532"/>
    <mergeCell ref="G493:H494"/>
    <mergeCell ref="G517:G518"/>
    <mergeCell ref="A520:A521"/>
    <mergeCell ref="F296:F298"/>
    <mergeCell ref="G344:H345"/>
    <mergeCell ref="D343:H343"/>
    <mergeCell ref="A313:A314"/>
    <mergeCell ref="B313:D313"/>
    <mergeCell ref="G313:H314"/>
    <mergeCell ref="F313:F314"/>
    <mergeCell ref="E313:E314"/>
    <mergeCell ref="A326:A327"/>
    <mergeCell ref="H326:I327"/>
    <mergeCell ref="B332:I332"/>
    <mergeCell ref="A344:A345"/>
    <mergeCell ref="I299:K299"/>
    <mergeCell ref="I301:K301"/>
    <mergeCell ref="I304:K304"/>
    <mergeCell ref="A506:A507"/>
    <mergeCell ref="G457:H457"/>
    <mergeCell ref="A449:A450"/>
    <mergeCell ref="A496:A497"/>
    <mergeCell ref="Q529:R529"/>
    <mergeCell ref="Q530:R530"/>
    <mergeCell ref="Q531:R531"/>
    <mergeCell ref="Q476:R476"/>
    <mergeCell ref="H517:H518"/>
    <mergeCell ref="M528:N528"/>
    <mergeCell ref="Q528:R528"/>
    <mergeCell ref="L528:L529"/>
    <mergeCell ref="A379:A380"/>
    <mergeCell ref="B379:D379"/>
    <mergeCell ref="H443:I443"/>
    <mergeCell ref="A455:A456"/>
    <mergeCell ref="H440:I440"/>
    <mergeCell ref="H441:I441"/>
    <mergeCell ref="H442:I442"/>
    <mergeCell ref="F426:G426"/>
    <mergeCell ref="F427:G427"/>
    <mergeCell ref="F432:F433"/>
    <mergeCell ref="A438:A439"/>
    <mergeCell ref="B438:C438"/>
    <mergeCell ref="F438:G439"/>
    <mergeCell ref="H438:I438"/>
    <mergeCell ref="H439:I439"/>
    <mergeCell ref="A432:A433"/>
    <mergeCell ref="Q533:R533"/>
    <mergeCell ref="Q534:R534"/>
    <mergeCell ref="B449:C449"/>
    <mergeCell ref="E449:E450"/>
    <mergeCell ref="F449:F450"/>
    <mergeCell ref="B473:B475"/>
    <mergeCell ref="C473:D473"/>
    <mergeCell ref="E473:F473"/>
    <mergeCell ref="G458:H458"/>
    <mergeCell ref="G495:H495"/>
    <mergeCell ref="B503:B505"/>
    <mergeCell ref="C503:D504"/>
    <mergeCell ref="E503:E504"/>
    <mergeCell ref="F503:F504"/>
    <mergeCell ref="G503:H505"/>
    <mergeCell ref="I517:I518"/>
    <mergeCell ref="G525:G526"/>
    <mergeCell ref="E486:H486"/>
    <mergeCell ref="E487:F487"/>
    <mergeCell ref="G487:H487"/>
    <mergeCell ref="H481:H482"/>
    <mergeCell ref="B455:C455"/>
    <mergeCell ref="F455:H456"/>
    <mergeCell ref="H525:H527"/>
    <mergeCell ref="B432:C432"/>
    <mergeCell ref="F525:F526"/>
    <mergeCell ref="E539:E540"/>
    <mergeCell ref="A522:A523"/>
    <mergeCell ref="H397:I398"/>
    <mergeCell ref="A359:E359"/>
    <mergeCell ref="D361:E361"/>
    <mergeCell ref="D368:E368"/>
    <mergeCell ref="A390:A391"/>
    <mergeCell ref="B390:C390"/>
    <mergeCell ref="A397:A398"/>
    <mergeCell ref="B397:C397"/>
    <mergeCell ref="I370:J370"/>
    <mergeCell ref="I371:J371"/>
    <mergeCell ref="I372:J372"/>
    <mergeCell ref="I373:J373"/>
    <mergeCell ref="I365:J365"/>
    <mergeCell ref="I366:J366"/>
    <mergeCell ref="I369:J369"/>
    <mergeCell ref="I362:J362"/>
    <mergeCell ref="I363:J363"/>
    <mergeCell ref="A493:A495"/>
    <mergeCell ref="I364:J364"/>
    <mergeCell ref="B425:C425"/>
    <mergeCell ref="F425:G425"/>
    <mergeCell ref="C213:D213"/>
    <mergeCell ref="C214:D214"/>
    <mergeCell ref="C215:D215"/>
    <mergeCell ref="E215:F215"/>
    <mergeCell ref="E214:F214"/>
    <mergeCell ref="E213:F213"/>
    <mergeCell ref="H248:I248"/>
    <mergeCell ref="B244:C244"/>
    <mergeCell ref="G296:G298"/>
    <mergeCell ref="I292:J292"/>
    <mergeCell ref="I293:J293"/>
    <mergeCell ref="C248:G248"/>
    <mergeCell ref="B291:C291"/>
    <mergeCell ref="D291:E291"/>
    <mergeCell ref="B292:C292"/>
    <mergeCell ref="B293:C293"/>
    <mergeCell ref="D292:E292"/>
    <mergeCell ref="D293:E293"/>
    <mergeCell ref="F293:H293"/>
    <mergeCell ref="F292:H292"/>
    <mergeCell ref="F291:H291"/>
    <mergeCell ref="C249:G249"/>
    <mergeCell ref="B325:I325"/>
    <mergeCell ref="I545:I546"/>
    <mergeCell ref="C539:C540"/>
    <mergeCell ref="D539:D540"/>
    <mergeCell ref="B539:B540"/>
    <mergeCell ref="A545:A547"/>
    <mergeCell ref="B545:B546"/>
    <mergeCell ref="C545:C546"/>
    <mergeCell ref="D545:D546"/>
    <mergeCell ref="A530:A531"/>
    <mergeCell ref="A539:A541"/>
    <mergeCell ref="F539:F540"/>
    <mergeCell ref="G539:G540"/>
    <mergeCell ref="H539:H540"/>
    <mergeCell ref="E545:E546"/>
    <mergeCell ref="F545:F546"/>
    <mergeCell ref="G545:G546"/>
    <mergeCell ref="H545:H546"/>
    <mergeCell ref="B525:B527"/>
    <mergeCell ref="C525:D526"/>
    <mergeCell ref="A525:A527"/>
    <mergeCell ref="A528:A529"/>
    <mergeCell ref="E525:E526"/>
    <mergeCell ref="J192:K192"/>
    <mergeCell ref="F193:G193"/>
    <mergeCell ref="H193:I193"/>
    <mergeCell ref="J193:K193"/>
    <mergeCell ref="F200:G200"/>
    <mergeCell ref="C212:D212"/>
    <mergeCell ref="E212:F212"/>
    <mergeCell ref="H196:I196"/>
    <mergeCell ref="J196:K196"/>
    <mergeCell ref="D201:E201"/>
    <mergeCell ref="F201:G201"/>
    <mergeCell ref="J194:K194"/>
    <mergeCell ref="F195:G195"/>
    <mergeCell ref="H195:I195"/>
    <mergeCell ref="J195:K195"/>
    <mergeCell ref="D200:E200"/>
    <mergeCell ref="I416:J416"/>
    <mergeCell ref="I417:J417"/>
    <mergeCell ref="H249:I249"/>
    <mergeCell ref="I303:K303"/>
    <mergeCell ref="I300:K300"/>
    <mergeCell ref="G460:H460"/>
    <mergeCell ref="A296:A298"/>
    <mergeCell ref="H296:H298"/>
    <mergeCell ref="B296:B298"/>
    <mergeCell ref="C296:C298"/>
    <mergeCell ref="D296:D298"/>
    <mergeCell ref="E296:E298"/>
    <mergeCell ref="D351:H351"/>
    <mergeCell ref="A352:A353"/>
    <mergeCell ref="G352:H353"/>
    <mergeCell ref="E379:E380"/>
    <mergeCell ref="G379:H380"/>
    <mergeCell ref="A333:A334"/>
    <mergeCell ref="H333:I334"/>
    <mergeCell ref="H363:H366"/>
    <mergeCell ref="E363:E366"/>
    <mergeCell ref="F363:F366"/>
    <mergeCell ref="E370:E373"/>
    <mergeCell ref="F370:F373"/>
    <mergeCell ref="H370:H373"/>
  </mergeCells>
  <phoneticPr fontId="73" type="noConversion"/>
  <printOptions horizontalCentered="1"/>
  <pageMargins left="0.55118110236220474" right="0.47244094488188981" top="0.31496062992125984" bottom="0.74803149606299213" header="0.31496062992125984" footer="0.31496062992125984"/>
  <pageSetup paperSize="9" scale="80" orientation="portrait" horizontalDpi="300" verticalDpi="300" r:id="rId1"/>
  <drawing r:id="rId2"/>
  <legacyDrawing r:id="rId3"/>
  <oleObjects>
    <oleObject progId="Equation.3" shapeId="1041" r:id="rId4"/>
    <oleObject progId="Equation.3" shapeId="1042" r:id="rId5"/>
    <oleObject progId="Equation.3" shapeId="1044" r:id="rId6"/>
    <oleObject progId="Equation.3" shapeId="1045" r:id="rId7"/>
    <oleObject progId="Equation.3" shapeId="1046" r:id="rId8"/>
    <oleObject progId="Equation.3" shapeId="1047" r:id="rId9"/>
    <oleObject progId="Equation.3" shapeId="1048" r:id="rId10"/>
    <oleObject progId="Equation.3" shapeId="1050" r:id="rId11"/>
    <oleObject progId="Equation.3" shapeId="1052" r:id="rId12"/>
    <oleObject progId="Equation.3" shapeId="1053" r:id="rId13"/>
    <oleObject progId="Equation.3" shapeId="1054" r:id="rId14"/>
    <oleObject progId="Equation.3" shapeId="1055" r:id="rId15"/>
    <oleObject progId="Equation.3" shapeId="1056" r:id="rId16"/>
    <oleObject progId="Equation.3" shapeId="1058" r:id="rId17"/>
    <oleObject progId="Equation.3" shapeId="1059" r:id="rId18"/>
    <oleObject progId="Equation.3" shapeId="1061" r:id="rId19"/>
    <oleObject progId="Equation.3" shapeId="1062" r:id="rId20"/>
    <oleObject progId="Equation.3" shapeId="1063" r:id="rId21"/>
    <oleObject progId="Equation.3" shapeId="1064" r:id="rId22"/>
    <oleObject progId="Equation.3" shapeId="1065" r:id="rId23"/>
    <oleObject progId="Equation.3" shapeId="1066" r:id="rId24"/>
    <oleObject progId="Equation.3" shapeId="1071" r:id="rId25"/>
    <oleObject progId="Equation.3" shapeId="1073" r:id="rId26"/>
    <oleObject progId="Equation.3" shapeId="1074" r:id="rId27"/>
    <oleObject progId="Equation.3" shapeId="1075" r:id="rId28"/>
    <oleObject progId="Equation.3" shapeId="1076" r:id="rId29"/>
    <oleObject progId="Equation.3" shapeId="1077" r:id="rId30"/>
    <oleObject progId="Equation.3" shapeId="1078" r:id="rId31"/>
    <oleObject progId="Equation.3" shapeId="1079" r:id="rId32"/>
    <oleObject progId="Equation.3" shapeId="1080" r:id="rId33"/>
    <oleObject progId="Equation.3" shapeId="1081" r:id="rId34"/>
    <oleObject progId="Equation.3" shapeId="1082" r:id="rId35"/>
    <oleObject progId="Equation.3" shapeId="1083" r:id="rId36"/>
    <oleObject progId="Equation.3" shapeId="1084" r:id="rId37"/>
    <oleObject progId="Equation.3" shapeId="1086" r:id="rId38"/>
    <oleObject progId="Equation.3" shapeId="1087" r:id="rId39"/>
    <oleObject progId="Equation.3" shapeId="1088" r:id="rId40"/>
    <oleObject progId="Equation.3" shapeId="1089" r:id="rId41"/>
    <oleObject progId="Equation.3" shapeId="1090" r:id="rId42"/>
    <oleObject progId="Equation.3" shapeId="1091" r:id="rId43"/>
    <oleObject progId="Equation.3" shapeId="1092" r:id="rId44"/>
    <oleObject progId="Equation.3" shapeId="1093" r:id="rId45"/>
    <oleObject progId="Equation.3" shapeId="1094" r:id="rId46"/>
    <oleObject progId="Equation.3" shapeId="1095" r:id="rId47"/>
    <oleObject progId="Equation.3" shapeId="1096" r:id="rId48"/>
    <oleObject progId="Equation.3" shapeId="1099" r:id="rId49"/>
    <oleObject progId="Equation.3" shapeId="1100" r:id="rId50"/>
    <oleObject progId="Equation.3" shapeId="1101" r:id="rId51"/>
    <oleObject progId="Equation.3" shapeId="1102" r:id="rId52"/>
    <oleObject progId="Equation.3" shapeId="1106" r:id="rId53"/>
    <oleObject progId="Equation.3" shapeId="1107" r:id="rId54"/>
    <oleObject progId="Equation.3" shapeId="1108" r:id="rId55"/>
    <oleObject progId="Equation.3" shapeId="1109" r:id="rId56"/>
    <oleObject progId="Equation.3" shapeId="1110" r:id="rId57"/>
    <oleObject progId="Equation.3" shapeId="1111" r:id="rId58"/>
    <oleObject progId="Equation.3" shapeId="1112" r:id="rId59"/>
    <oleObject progId="Equation.3" shapeId="1114" r:id="rId60"/>
    <oleObject progId="Equation.3" shapeId="1115" r:id="rId61"/>
    <oleObject progId="Equation.3" shapeId="1116" r:id="rId62"/>
    <oleObject progId="Equation.3" shapeId="1117" r:id="rId63"/>
    <oleObject progId="Equation.3" shapeId="1118" r:id="rId64"/>
    <oleObject progId="Equation.3" shapeId="1120" r:id="rId65"/>
    <oleObject progId="Equation.3" shapeId="1121" r:id="rId66"/>
    <oleObject progId="Equation.3" shapeId="1123" r:id="rId67"/>
    <oleObject progId="Equation.3" shapeId="1124" r:id="rId68"/>
    <oleObject progId="Equation.3" shapeId="1125" r:id="rId69"/>
    <oleObject progId="Equation.3" shapeId="1126" r:id="rId70"/>
    <oleObject progId="Equation.3" shapeId="1129" r:id="rId71"/>
    <oleObject progId="Equation.3" shapeId="1130" r:id="rId72"/>
    <oleObject progId="Equation.3" shapeId="1131" r:id="rId73"/>
    <oleObject progId="Equation.3" shapeId="1138" r:id="rId74"/>
    <oleObject progId="Equation.3" shapeId="1139" r:id="rId75"/>
    <oleObject progId="Equation.3" shapeId="1143" r:id="rId76"/>
    <oleObject progId="Equation.3" shapeId="1144" r:id="rId77"/>
    <oleObject progId="Equation.3" shapeId="1145" r:id="rId78"/>
    <oleObject progId="Equation.3" shapeId="1146" r:id="rId79"/>
    <oleObject progId="Equation.3" shapeId="1147" r:id="rId80"/>
    <oleObject progId="Equation.3" shapeId="1148" r:id="rId81"/>
    <oleObject progId="Equation.3" shapeId="1149" r:id="rId82"/>
    <oleObject progId="Equation.3" shapeId="1152" r:id="rId83"/>
    <oleObject progId="Equation.3" shapeId="1156" r:id="rId84"/>
    <oleObject progId="Equation.3" shapeId="1157" r:id="rId85"/>
    <oleObject progId="Equation.3" shapeId="1158" r:id="rId86"/>
    <oleObject progId="Equation.3" shapeId="1160" r:id="rId87"/>
    <oleObject progId="Equation.3" shapeId="1161" r:id="rId88"/>
    <oleObject progId="Equation.3" shapeId="1168" r:id="rId89"/>
    <oleObject progId="Equation.3" shapeId="1174" r:id="rId90"/>
    <oleObject progId="Equation.3" shapeId="1175" r:id="rId91"/>
    <oleObject progId="Equation.3" shapeId="1177" r:id="rId92"/>
    <oleObject progId="Equation.3" shapeId="1178" r:id="rId93"/>
    <oleObject progId="Equation.3" shapeId="1179" r:id="rId94"/>
    <oleObject progId="Equation.3" shapeId="1181" r:id="rId95"/>
    <oleObject progId="Equation.3" shapeId="1182" r:id="rId96"/>
    <oleObject progId="Equation.3" shapeId="1183" r:id="rId97"/>
    <oleObject progId="Equation.3" shapeId="1184" r:id="rId98"/>
    <oleObject progId="Equation.3" shapeId="1185" r:id="rId99"/>
    <oleObject progId="Equation.3" shapeId="1186" r:id="rId100"/>
    <oleObject progId="Equation.3" shapeId="1187" r:id="rId101"/>
    <oleObject progId="Equation.3" shapeId="1188" r:id="rId102"/>
    <oleObject progId="Equation.3" shapeId="1189" r:id="rId103"/>
    <oleObject progId="Equation.3" shapeId="1190" r:id="rId104"/>
    <oleObject progId="Equation.3" shapeId="1209" r:id="rId105"/>
    <oleObject progId="Equation.3" shapeId="1210" r:id="rId106"/>
    <oleObject progId="Equation.3" shapeId="1211" r:id="rId107"/>
    <oleObject progId="Equation.3" shapeId="1213" r:id="rId108"/>
    <oleObject progId="Equation.3" shapeId="1214" r:id="rId109"/>
    <oleObject progId="Equation.3" shapeId="1215" r:id="rId110"/>
    <oleObject progId="Equation.3" shapeId="1217" r:id="rId111"/>
    <oleObject progId="Equation.3" shapeId="1218" r:id="rId112"/>
    <oleObject progId="Equation.3" shapeId="1219" r:id="rId113"/>
    <oleObject progId="Equation.3" shapeId="1220" r:id="rId114"/>
    <oleObject progId="Equation.3" shapeId="1221" r:id="rId115"/>
    <oleObject progId="Equation.3" shapeId="1222" r:id="rId116"/>
    <oleObject progId="Equation.3" shapeId="1223" r:id="rId117"/>
    <oleObject progId="Equation.3" shapeId="1224" r:id="rId118"/>
    <oleObject progId="Equation.3" shapeId="1226" r:id="rId119"/>
    <oleObject progId="Equation.3" shapeId="1227" r:id="rId120"/>
    <oleObject progId="Equation.3" shapeId="1228" r:id="rId121"/>
    <oleObject progId="Equation.3" shapeId="1229" r:id="rId122"/>
    <oleObject progId="Equation.3" shapeId="1230" r:id="rId123"/>
    <oleObject progId="Equation.3" shapeId="1231" r:id="rId124"/>
    <oleObject progId="Equation.3" shapeId="1232" r:id="rId125"/>
    <oleObject progId="Equation.3" shapeId="1233" r:id="rId126"/>
    <oleObject progId="Equation.3" shapeId="1234" r:id="rId127"/>
    <oleObject progId="Equation.3" shapeId="1235" r:id="rId128"/>
    <oleObject progId="Equation.3" shapeId="1236" r:id="rId129"/>
    <oleObject progId="Equation.3" shapeId="1237" r:id="rId130"/>
    <oleObject progId="Equation.3" shapeId="1238" r:id="rId131"/>
    <oleObject progId="Equation.3" shapeId="1242" r:id="rId132"/>
    <oleObject progId="Equation.3" shapeId="1243" r:id="rId133"/>
    <oleObject progId="Equation.3" shapeId="1245" r:id="rId134"/>
    <oleObject progId="Equation.3" shapeId="1246" r:id="rId135"/>
    <oleObject progId="Equation.3" shapeId="1247" r:id="rId136"/>
    <oleObject progId="Equation.3" shapeId="1248" r:id="rId137"/>
    <oleObject progId="Equation.3" shapeId="1249" r:id="rId138"/>
    <oleObject progId="Equation.3" shapeId="1250" r:id="rId139"/>
    <oleObject progId="Equation.3" shapeId="1251" r:id="rId140"/>
    <oleObject progId="Equation.3" shapeId="1252" r:id="rId141"/>
    <oleObject progId="Equation.3" shapeId="1253" r:id="rId142"/>
    <oleObject progId="Equation.3" shapeId="1255" r:id="rId143"/>
    <oleObject progId="Equation.3" shapeId="1256" r:id="rId144"/>
    <oleObject progId="Equation.3" shapeId="1258" r:id="rId145"/>
    <oleObject progId="Equation.3" shapeId="1259" r:id="rId146"/>
    <oleObject progId="Equation.3" shapeId="1260" r:id="rId147"/>
    <oleObject progId="Equation.3" shapeId="1261" r:id="rId148"/>
    <oleObject progId="Equation.3" shapeId="1263" r:id="rId149"/>
    <oleObject progId="Equation.3" shapeId="1264" r:id="rId150"/>
    <oleObject progId="Equation.3" shapeId="1265" r:id="rId151"/>
    <oleObject progId="Equation.3" shapeId="1266" r:id="rId152"/>
    <oleObject progId="Equation.3" shapeId="1268" r:id="rId153"/>
    <oleObject progId="Equation.3" shapeId="1269" r:id="rId154"/>
    <oleObject progId="Equation.3" shapeId="1270" r:id="rId155"/>
    <oleObject progId="Equation.3" shapeId="1272" r:id="rId156"/>
    <oleObject progId="Equation.3" shapeId="1273" r:id="rId157"/>
    <oleObject progId="Equation.3" shapeId="1274" r:id="rId158"/>
    <oleObject progId="Equation.3" shapeId="1275" r:id="rId159"/>
    <oleObject progId="Equation.3" shapeId="1279" r:id="rId160"/>
    <oleObject progId="Equation.3" shapeId="1280" r:id="rId161"/>
    <oleObject progId="Equation.3" shapeId="1281" r:id="rId162"/>
    <oleObject progId="Equation.3" shapeId="1282" r:id="rId163"/>
    <oleObject progId="Equation.3" shapeId="1283" r:id="rId164"/>
    <oleObject progId="Equation.3" shapeId="1284" r:id="rId165"/>
    <oleObject progId="Equation.3" shapeId="1285" r:id="rId166"/>
    <oleObject progId="Equation.3" shapeId="1286" r:id="rId167"/>
    <oleObject progId="Equation.3" shapeId="1287" r:id="rId168"/>
    <oleObject progId="Equation.3" shapeId="1288" r:id="rId169"/>
    <oleObject progId="Equation.3" shapeId="1289" r:id="rId170"/>
    <oleObject progId="Equation.3" shapeId="1290" r:id="rId171"/>
    <oleObject progId="Equation.3" shapeId="1291" r:id="rId172"/>
    <oleObject progId="Equation.3" shapeId="1292" r:id="rId173"/>
    <oleObject progId="Equation.3" shapeId="1293" r:id="rId174"/>
    <oleObject progId="Equation.3" shapeId="1294" r:id="rId175"/>
    <oleObject progId="Equation.3" shapeId="1295" r:id="rId176"/>
    <oleObject progId="Equation.3" shapeId="1296" r:id="rId177"/>
    <oleObject progId="Equation.3" shapeId="1297" r:id="rId178"/>
    <oleObject progId="Equation.3" shapeId="1298" r:id="rId179"/>
    <oleObject progId="Equation.3" shapeId="1299" r:id="rId180"/>
    <oleObject progId="Equation.3" shapeId="1300" r:id="rId181"/>
    <oleObject progId="Equation.3" shapeId="1307" r:id="rId182"/>
    <oleObject progId="Equation.3" shapeId="1308" r:id="rId183"/>
    <oleObject progId="Equation.3" shapeId="1477" r:id="rId184"/>
    <oleObject progId="Equation.3" shapeId="1478" r:id="rId185"/>
    <oleObject progId="Equation.3" shapeId="1479" r:id="rId186"/>
    <oleObject progId="Equation.3" shapeId="1480" r:id="rId187"/>
    <oleObject progId="Equation.3" shapeId="1482" r:id="rId188"/>
    <oleObject progId="Equation.3" shapeId="1483" r:id="rId189"/>
    <oleObject progId="Equation.3" shapeId="1484" r:id="rId190"/>
    <oleObject progId="Equation.3" shapeId="1493" r:id="rId191"/>
    <oleObject progId="Equation.3" shapeId="1494" r:id="rId192"/>
    <oleObject progId="Equation.3" shapeId="1495" r:id="rId193"/>
    <oleObject progId="Equation.3" shapeId="1496" r:id="rId194"/>
    <oleObject progId="Equation.3" shapeId="1497" r:id="rId195"/>
    <oleObject progId="Equation.3" shapeId="1498" r:id="rId196"/>
    <oleObject progId="Equation.3" shapeId="1499" r:id="rId197"/>
    <oleObject progId="Equation.3" shapeId="1500" r:id="rId198"/>
    <oleObject progId="Equation.3" shapeId="1501" r:id="rId199"/>
    <oleObject progId="Equation.3" shapeId="1502" r:id="rId200"/>
    <oleObject progId="Equation.3" shapeId="1503" r:id="rId201"/>
    <oleObject progId="Equation.3" shapeId="1504" r:id="rId202"/>
    <oleObject progId="Equation.3" shapeId="1505" r:id="rId203"/>
    <oleObject progId="Equation.3" shapeId="1506" r:id="rId204"/>
    <oleObject progId="Equation.3" shapeId="1507" r:id="rId205"/>
    <oleObject progId="Equation.3" shapeId="1583" r:id="rId206"/>
    <oleObject progId="Equation.3" shapeId="1584" r:id="rId207"/>
    <oleObject progId="Equation.3" shapeId="1585" r:id="rId208"/>
    <oleObject progId="Equation.3" shapeId="1626" r:id="rId209"/>
    <oleObject progId="Equation.3" shapeId="1628" r:id="rId210"/>
    <oleObject progId="Equation.3" shapeId="1630" r:id="rId211"/>
    <oleObject progId="Equation.3" shapeId="1631" r:id="rId212"/>
    <oleObject progId="Equation.3" shapeId="1632" r:id="rId213"/>
    <oleObject progId="Equation.3" shapeId="1633" r:id="rId214"/>
    <oleObject progId="Equation.3" shapeId="1634" r:id="rId215"/>
    <oleObject progId="Equation.3" shapeId="1180" r:id="rId216"/>
    <oleObject progId="Equation.3" shapeId="1635" r:id="rId217"/>
    <oleObject progId="Equation.3" shapeId="1072" r:id="rId218"/>
    <oleObject progId="Equation.3" shapeId="1636" r:id="rId219"/>
    <oleObject progId="Equation.3" shapeId="1637" r:id="rId220"/>
    <oleObject progId="Equation.3" shapeId="1638" r:id="rId221"/>
    <oleObject progId="Equation.3" shapeId="1639" r:id="rId222"/>
    <oleObject progId="Equation.3" shapeId="1640" r:id="rId223"/>
    <oleObject progId="Equation.3" shapeId="1641" r:id="rId224"/>
    <oleObject progId="Equation.3" shapeId="1642" r:id="rId225"/>
  </oleObjects>
</worksheet>
</file>

<file path=xl/worksheets/sheet3.xml><?xml version="1.0" encoding="utf-8"?>
<worksheet xmlns="http://schemas.openxmlformats.org/spreadsheetml/2006/main" xmlns:r="http://schemas.openxmlformats.org/officeDocument/2006/relationships">
  <dimension ref="B4:F6"/>
  <sheetViews>
    <sheetView workbookViewId="0">
      <selection activeCell="E9" sqref="E9"/>
    </sheetView>
  </sheetViews>
  <sheetFormatPr baseColWidth="10" defaultRowHeight="15"/>
  <sheetData>
    <row r="4" spans="2:6">
      <c r="B4" s="79" t="s">
        <v>324</v>
      </c>
      <c r="C4" s="79" t="s">
        <v>325</v>
      </c>
      <c r="D4" s="79" t="s">
        <v>326</v>
      </c>
      <c r="E4" s="79" t="s">
        <v>103</v>
      </c>
      <c r="F4" s="79" t="s">
        <v>327</v>
      </c>
    </row>
    <row r="5" spans="2:6">
      <c r="B5" s="50" t="s">
        <v>328</v>
      </c>
      <c r="C5" s="79">
        <v>0.15</v>
      </c>
      <c r="D5" s="79">
        <v>0.15</v>
      </c>
      <c r="E5" s="79">
        <v>0.15</v>
      </c>
      <c r="F5" s="79">
        <v>0.15</v>
      </c>
    </row>
    <row r="6" spans="2:6">
      <c r="B6" s="50" t="s">
        <v>329</v>
      </c>
      <c r="C6" s="79">
        <v>0.3</v>
      </c>
      <c r="D6" s="79">
        <v>0.4</v>
      </c>
      <c r="E6" s="79">
        <v>0.5</v>
      </c>
      <c r="F6" s="79">
        <v>0.7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O83"/>
  <sheetViews>
    <sheetView workbookViewId="0">
      <selection activeCell="H3" sqref="H3:J3"/>
    </sheetView>
  </sheetViews>
  <sheetFormatPr baseColWidth="10" defaultRowHeight="15"/>
  <cols>
    <col min="4" max="4" width="15.140625" customWidth="1"/>
    <col min="8" max="8" width="17.85546875" customWidth="1"/>
    <col min="9" max="9" width="19.85546875" customWidth="1"/>
    <col min="10" max="10" width="18" customWidth="1"/>
  </cols>
  <sheetData>
    <row r="1" spans="1:15" ht="16.5" thickBot="1">
      <c r="A1" s="80"/>
      <c r="B1" s="80"/>
      <c r="C1" s="80"/>
      <c r="D1" s="80"/>
      <c r="E1" s="80"/>
      <c r="F1" s="80"/>
      <c r="G1" s="80"/>
      <c r="H1" s="80"/>
      <c r="I1" s="81" t="s">
        <v>331</v>
      </c>
      <c r="J1" s="80"/>
      <c r="K1" s="80"/>
      <c r="L1" s="80"/>
      <c r="M1" s="80"/>
      <c r="N1" s="80"/>
      <c r="O1" s="80"/>
    </row>
    <row r="2" spans="1:15" ht="17.25" thickTop="1" thickBot="1">
      <c r="A2" s="80"/>
      <c r="B2" s="652"/>
      <c r="C2" s="653"/>
      <c r="D2" s="82"/>
      <c r="E2" s="80"/>
      <c r="F2" s="80"/>
      <c r="G2" s="80"/>
      <c r="H2" s="649" t="str">
        <f>IF(G41&lt;=20%,IF(D3&lt;33,"Le coéfficient de comportement  R= 4  ","Le coéfficient de comportement  R= 5 "),IF(G41&gt;20%,"Le coéfficient de comportement  R= 3.5"))</f>
        <v>Le coéfficient de comportement  R= 3.5</v>
      </c>
      <c r="I2" s="654"/>
      <c r="J2" s="655"/>
      <c r="K2" s="117"/>
      <c r="L2" s="80"/>
      <c r="M2" s="80"/>
      <c r="N2" s="80"/>
      <c r="O2" s="80"/>
    </row>
    <row r="3" spans="1:15" ht="17.25" thickTop="1" thickBot="1">
      <c r="A3" s="80"/>
      <c r="B3" s="656" t="s">
        <v>332</v>
      </c>
      <c r="C3" s="657"/>
      <c r="D3" s="83">
        <v>14.88</v>
      </c>
      <c r="E3" s="80"/>
      <c r="F3" s="80"/>
      <c r="G3" s="80"/>
      <c r="H3" s="649" t="str">
        <f>IF(H60&gt;=25%,IF(D3&lt;33,"Système 4b selon X-X ","Système 4a selon X-X"))</f>
        <v xml:space="preserve">Système 4b selon X-X </v>
      </c>
      <c r="I3" s="654"/>
      <c r="J3" s="655"/>
      <c r="K3" s="80"/>
      <c r="L3" s="80"/>
      <c r="M3" s="80"/>
      <c r="N3" s="80"/>
      <c r="O3" s="80"/>
    </row>
    <row r="4" spans="1:15" ht="16.5" thickTop="1" thickBot="1">
      <c r="A4" s="80"/>
      <c r="B4" s="80"/>
      <c r="C4" s="80"/>
      <c r="D4" s="80"/>
      <c r="E4" s="80"/>
      <c r="F4" s="80"/>
      <c r="G4" s="80"/>
      <c r="H4" s="649" t="str">
        <f>IF( H79&gt;=25%,IF(D3&lt;33,"Système 4b selon Y-Y ","Système 4a selon Y-Y "))</f>
        <v xml:space="preserve">Système 4b selon Y-Y </v>
      </c>
      <c r="I4" s="654"/>
      <c r="J4" s="655"/>
      <c r="K4" s="80"/>
      <c r="L4" s="80"/>
      <c r="M4" s="80"/>
      <c r="N4" s="80"/>
      <c r="O4" s="80"/>
    </row>
    <row r="5" spans="1:15" ht="15.75" thickTop="1">
      <c r="A5" s="80"/>
      <c r="B5" s="80"/>
      <c r="C5" s="80"/>
      <c r="D5" s="80"/>
      <c r="E5" s="80"/>
      <c r="F5" s="80"/>
      <c r="G5" s="80"/>
      <c r="H5" s="84"/>
      <c r="I5" s="84"/>
      <c r="J5" s="84"/>
      <c r="K5" s="80"/>
      <c r="L5" s="80"/>
      <c r="M5" s="80"/>
      <c r="N5" s="80"/>
      <c r="O5" s="80"/>
    </row>
    <row r="6" spans="1:15" ht="18">
      <c r="A6" s="80"/>
      <c r="B6" s="658" t="s">
        <v>333</v>
      </c>
      <c r="C6" s="659"/>
      <c r="D6" s="660"/>
      <c r="E6" s="80"/>
      <c r="F6" s="80"/>
      <c r="G6" s="661" t="s">
        <v>334</v>
      </c>
      <c r="H6" s="662"/>
      <c r="I6" s="663"/>
      <c r="J6" s="85"/>
      <c r="K6" s="85"/>
      <c r="L6" s="80"/>
      <c r="M6" s="80"/>
      <c r="N6" s="80"/>
      <c r="O6" s="80"/>
    </row>
    <row r="7" spans="1:15" ht="15.75">
      <c r="A7" s="80"/>
      <c r="B7" s="647" t="s">
        <v>335</v>
      </c>
      <c r="C7" s="648"/>
      <c r="D7" s="86" t="s">
        <v>336</v>
      </c>
      <c r="E7" s="80"/>
      <c r="F7" s="80"/>
      <c r="G7" s="647" t="s">
        <v>335</v>
      </c>
      <c r="H7" s="648"/>
      <c r="I7" s="86" t="s">
        <v>336</v>
      </c>
      <c r="J7" s="85"/>
      <c r="K7" s="85"/>
      <c r="L7" s="80"/>
      <c r="M7" s="80"/>
      <c r="N7" s="80"/>
      <c r="O7" s="80"/>
    </row>
    <row r="8" spans="1:15" ht="21" thickBot="1">
      <c r="A8" s="87" t="s">
        <v>337</v>
      </c>
      <c r="B8" s="87" t="s">
        <v>338</v>
      </c>
      <c r="C8" s="87" t="s">
        <v>339</v>
      </c>
      <c r="D8" s="462" t="s">
        <v>770</v>
      </c>
      <c r="E8" s="80"/>
      <c r="F8" s="87" t="s">
        <v>337</v>
      </c>
      <c r="G8" s="87" t="s">
        <v>338</v>
      </c>
      <c r="H8" s="87" t="s">
        <v>339</v>
      </c>
      <c r="I8" s="461" t="s">
        <v>771</v>
      </c>
      <c r="J8" s="85"/>
      <c r="K8" s="85"/>
      <c r="L8" s="80"/>
      <c r="M8" s="80"/>
      <c r="N8" s="80"/>
      <c r="O8" s="80"/>
    </row>
    <row r="9" spans="1:15" ht="19.5" thickTop="1" thickBot="1">
      <c r="A9" s="88">
        <v>1</v>
      </c>
      <c r="B9" s="89">
        <v>415.1</v>
      </c>
      <c r="C9" s="89">
        <v>465.69</v>
      </c>
      <c r="D9" s="348">
        <v>-2556.13</v>
      </c>
      <c r="E9" s="80"/>
      <c r="F9" s="90">
        <v>1</v>
      </c>
      <c r="G9" s="89">
        <v>154.38999999999999</v>
      </c>
      <c r="H9" s="89">
        <v>134.55000000000001</v>
      </c>
      <c r="I9" s="348">
        <v>-9008.74</v>
      </c>
      <c r="J9" s="85"/>
      <c r="K9" s="85"/>
      <c r="L9" s="80"/>
      <c r="M9" s="80"/>
      <c r="N9" s="80"/>
      <c r="O9" s="80"/>
    </row>
    <row r="10" spans="1:15" ht="19.5" thickTop="1" thickBot="1">
      <c r="A10" s="88">
        <v>2</v>
      </c>
      <c r="B10" s="89">
        <v>215.76</v>
      </c>
      <c r="C10" s="89">
        <v>283.08</v>
      </c>
      <c r="D10" s="348">
        <v>-1754.12</v>
      </c>
      <c r="E10" s="80"/>
      <c r="F10" s="90">
        <v>2</v>
      </c>
      <c r="G10" s="89">
        <v>203.77</v>
      </c>
      <c r="H10" s="89">
        <v>151.63</v>
      </c>
      <c r="I10" s="348">
        <v>-6741.94</v>
      </c>
      <c r="J10" s="85"/>
      <c r="K10" s="85"/>
      <c r="L10" s="80"/>
      <c r="M10" s="80"/>
      <c r="N10" s="80"/>
      <c r="O10" s="80"/>
    </row>
    <row r="11" spans="1:15" ht="19.5" thickTop="1" thickBot="1">
      <c r="A11" s="88">
        <v>3</v>
      </c>
      <c r="B11" s="89">
        <v>0</v>
      </c>
      <c r="C11" s="89">
        <v>0</v>
      </c>
      <c r="D11" s="348">
        <v>-1105.8900000000001</v>
      </c>
      <c r="E11" s="80"/>
      <c r="F11" s="90">
        <v>3</v>
      </c>
      <c r="G11" s="89">
        <v>45.02</v>
      </c>
      <c r="H11" s="89">
        <v>46.94</v>
      </c>
      <c r="I11" s="348">
        <v>-4448.6499999999996</v>
      </c>
      <c r="J11" s="85"/>
      <c r="K11" s="85"/>
      <c r="L11" s="80"/>
      <c r="M11" s="80"/>
      <c r="N11" s="80"/>
      <c r="O11" s="80"/>
    </row>
    <row r="12" spans="1:15" ht="19.5" thickTop="1" thickBot="1">
      <c r="A12" s="88">
        <v>4</v>
      </c>
      <c r="B12" s="91">
        <v>0</v>
      </c>
      <c r="C12" s="91">
        <v>0</v>
      </c>
      <c r="D12" s="348">
        <v>-416.04</v>
      </c>
      <c r="E12" s="80"/>
      <c r="F12" s="90">
        <v>4</v>
      </c>
      <c r="G12" s="91">
        <v>0</v>
      </c>
      <c r="H12" s="91">
        <v>0</v>
      </c>
      <c r="I12" s="348">
        <v>-2044.33</v>
      </c>
      <c r="J12" s="85"/>
      <c r="K12" s="85"/>
      <c r="L12" s="80"/>
      <c r="M12" s="80"/>
      <c r="N12" s="80"/>
      <c r="O12" s="80"/>
    </row>
    <row r="13" spans="1:15" ht="18.75" thickTop="1">
      <c r="A13" s="88">
        <v>5</v>
      </c>
      <c r="B13" s="91">
        <v>0</v>
      </c>
      <c r="C13" s="91">
        <v>0</v>
      </c>
      <c r="D13" s="91"/>
      <c r="E13" s="80"/>
      <c r="F13" s="90">
        <v>5</v>
      </c>
      <c r="G13" s="91">
        <v>0</v>
      </c>
      <c r="H13" s="91">
        <v>0</v>
      </c>
      <c r="I13" s="91"/>
      <c r="J13" s="85"/>
      <c r="K13" s="85"/>
      <c r="L13" s="80"/>
      <c r="M13" s="80"/>
      <c r="N13" s="80"/>
      <c r="O13" s="80"/>
    </row>
    <row r="14" spans="1:15" ht="18">
      <c r="A14" s="88">
        <v>6</v>
      </c>
      <c r="B14" s="91">
        <v>0</v>
      </c>
      <c r="C14" s="91">
        <v>0</v>
      </c>
      <c r="D14" s="91"/>
      <c r="E14" s="80"/>
      <c r="F14" s="90">
        <v>6</v>
      </c>
      <c r="G14" s="91">
        <v>0</v>
      </c>
      <c r="H14" s="91">
        <v>0</v>
      </c>
      <c r="I14" s="91"/>
      <c r="J14" s="85"/>
      <c r="K14" s="85"/>
      <c r="L14" s="80"/>
      <c r="M14" s="80"/>
      <c r="N14" s="80"/>
      <c r="O14" s="80"/>
    </row>
    <row r="15" spans="1:15" ht="18">
      <c r="A15" s="88">
        <v>7</v>
      </c>
      <c r="B15" s="91">
        <v>0</v>
      </c>
      <c r="C15" s="91">
        <v>0</v>
      </c>
      <c r="D15" s="91"/>
      <c r="E15" s="80"/>
      <c r="F15" s="90">
        <v>7</v>
      </c>
      <c r="G15" s="91">
        <v>0</v>
      </c>
      <c r="H15" s="91">
        <v>0</v>
      </c>
      <c r="I15" s="91"/>
      <c r="J15" s="85"/>
      <c r="K15" s="85"/>
      <c r="L15" s="80"/>
      <c r="M15" s="80"/>
      <c r="N15" s="80"/>
      <c r="O15" s="80"/>
    </row>
    <row r="16" spans="1:15" ht="18">
      <c r="A16" s="88">
        <v>8</v>
      </c>
      <c r="B16" s="91">
        <v>0</v>
      </c>
      <c r="C16" s="91">
        <v>0</v>
      </c>
      <c r="D16" s="91"/>
      <c r="E16" s="80"/>
      <c r="F16" s="90">
        <v>8</v>
      </c>
      <c r="G16" s="91">
        <v>0</v>
      </c>
      <c r="H16" s="91">
        <v>0</v>
      </c>
      <c r="I16" s="91"/>
      <c r="J16" s="85"/>
      <c r="K16" s="85"/>
      <c r="L16" s="80"/>
      <c r="M16" s="80"/>
      <c r="N16" s="80"/>
      <c r="O16" s="80"/>
    </row>
    <row r="17" spans="1:15" ht="18">
      <c r="A17" s="88">
        <v>9</v>
      </c>
      <c r="B17" s="91">
        <v>0</v>
      </c>
      <c r="C17" s="91">
        <v>0</v>
      </c>
      <c r="D17" s="91"/>
      <c r="E17" s="80"/>
      <c r="F17" s="90">
        <v>9</v>
      </c>
      <c r="G17" s="91">
        <v>0</v>
      </c>
      <c r="H17" s="91">
        <v>0</v>
      </c>
      <c r="I17" s="91"/>
      <c r="J17" s="85"/>
      <c r="K17" s="85"/>
      <c r="L17" s="80"/>
      <c r="M17" s="80"/>
      <c r="N17" s="80"/>
      <c r="O17" s="80"/>
    </row>
    <row r="18" spans="1:15" ht="18">
      <c r="A18" s="88">
        <v>10</v>
      </c>
      <c r="B18" s="91">
        <v>0</v>
      </c>
      <c r="C18" s="91">
        <v>0</v>
      </c>
      <c r="D18" s="91"/>
      <c r="E18" s="80"/>
      <c r="F18" s="90">
        <v>10</v>
      </c>
      <c r="G18" s="91">
        <v>0</v>
      </c>
      <c r="H18" s="91">
        <v>0</v>
      </c>
      <c r="I18" s="91"/>
      <c r="J18" s="85"/>
      <c r="K18" s="85"/>
      <c r="L18" s="80"/>
      <c r="M18" s="80"/>
      <c r="N18" s="80"/>
      <c r="O18" s="80"/>
    </row>
    <row r="19" spans="1:15" ht="18">
      <c r="A19" s="88">
        <v>11</v>
      </c>
      <c r="B19" s="91">
        <v>0</v>
      </c>
      <c r="C19" s="91">
        <v>0</v>
      </c>
      <c r="D19" s="91"/>
      <c r="E19" s="80"/>
      <c r="F19" s="90">
        <v>11</v>
      </c>
      <c r="G19" s="91">
        <v>0</v>
      </c>
      <c r="H19" s="91">
        <v>0</v>
      </c>
      <c r="I19" s="91"/>
      <c r="J19" s="85"/>
      <c r="K19" s="85"/>
      <c r="L19" s="80"/>
      <c r="M19" s="80"/>
      <c r="N19" s="80"/>
      <c r="O19" s="80"/>
    </row>
    <row r="20" spans="1:15" ht="18">
      <c r="A20" s="88">
        <v>12</v>
      </c>
      <c r="B20" s="91">
        <v>0</v>
      </c>
      <c r="C20" s="91">
        <v>0</v>
      </c>
      <c r="D20" s="91"/>
      <c r="E20" s="80"/>
      <c r="F20" s="90">
        <v>12</v>
      </c>
      <c r="G20" s="91">
        <v>0</v>
      </c>
      <c r="H20" s="91">
        <v>0</v>
      </c>
      <c r="I20" s="91"/>
      <c r="J20" s="85"/>
      <c r="K20" s="85"/>
      <c r="L20" s="80"/>
      <c r="M20" s="80"/>
      <c r="N20" s="80"/>
      <c r="O20" s="80"/>
    </row>
    <row r="21" spans="1:15" ht="18">
      <c r="A21" s="88">
        <v>13</v>
      </c>
      <c r="B21" s="91">
        <v>0</v>
      </c>
      <c r="C21" s="91">
        <v>0</v>
      </c>
      <c r="D21" s="91"/>
      <c r="E21" s="80"/>
      <c r="F21" s="90">
        <v>13</v>
      </c>
      <c r="G21" s="91">
        <v>0</v>
      </c>
      <c r="H21" s="91">
        <v>0</v>
      </c>
      <c r="I21" s="91"/>
      <c r="J21" s="92"/>
      <c r="K21" s="85"/>
      <c r="L21" s="80"/>
      <c r="M21" s="80"/>
      <c r="N21" s="80"/>
      <c r="O21" s="80"/>
    </row>
    <row r="22" spans="1:15" s="75" customFormat="1" ht="18">
      <c r="A22" s="459" t="s">
        <v>764</v>
      </c>
      <c r="B22" s="91"/>
      <c r="C22" s="91"/>
      <c r="D22" s="91"/>
      <c r="E22" s="80"/>
      <c r="F22" s="460" t="s">
        <v>764</v>
      </c>
      <c r="G22" s="91"/>
      <c r="H22" s="91"/>
      <c r="I22" s="91"/>
      <c r="J22" s="92"/>
      <c r="K22" s="85"/>
      <c r="L22" s="80"/>
      <c r="M22" s="80"/>
      <c r="N22" s="80"/>
      <c r="O22" s="80"/>
    </row>
    <row r="23" spans="1:15">
      <c r="A23" s="80"/>
      <c r="B23" s="80"/>
      <c r="C23" s="80"/>
      <c r="D23" s="80"/>
      <c r="E23" s="80"/>
      <c r="F23" s="80"/>
      <c r="G23" s="80"/>
      <c r="H23" s="80"/>
      <c r="I23" s="80"/>
      <c r="J23" s="80"/>
      <c r="K23" s="80"/>
      <c r="L23" s="80"/>
      <c r="M23" s="80"/>
      <c r="N23" s="80"/>
      <c r="O23" s="80"/>
    </row>
    <row r="24" spans="1:15" ht="15.75">
      <c r="A24" s="93" t="s">
        <v>341</v>
      </c>
      <c r="B24" s="93"/>
      <c r="C24" s="93"/>
      <c r="D24" s="93"/>
      <c r="E24" s="80"/>
      <c r="F24" s="80"/>
      <c r="G24" s="80"/>
      <c r="H24" s="80"/>
      <c r="I24" s="80"/>
      <c r="J24" s="80"/>
      <c r="K24" s="80"/>
      <c r="L24" s="80"/>
      <c r="M24" s="80"/>
      <c r="N24" s="80"/>
      <c r="O24" s="80"/>
    </row>
    <row r="25" spans="1:15">
      <c r="A25" s="94"/>
      <c r="B25" s="80"/>
      <c r="C25" s="80"/>
      <c r="D25" s="80"/>
      <c r="E25" s="80"/>
      <c r="F25" s="80"/>
      <c r="G25" s="80"/>
      <c r="H25" s="80"/>
      <c r="I25" s="80"/>
      <c r="J25" s="80"/>
      <c r="K25" s="80"/>
      <c r="L25" s="80"/>
      <c r="M25" s="80"/>
      <c r="N25" s="80"/>
      <c r="O25" s="80"/>
    </row>
    <row r="26" spans="1:15">
      <c r="A26" s="95" t="s">
        <v>337</v>
      </c>
      <c r="B26" s="96" t="s">
        <v>342</v>
      </c>
      <c r="C26" s="97" t="s">
        <v>343</v>
      </c>
      <c r="D26" s="98" t="s">
        <v>344</v>
      </c>
      <c r="E26" s="67"/>
      <c r="F26" s="67"/>
      <c r="G26" s="99" t="s">
        <v>345</v>
      </c>
      <c r="H26" s="100" t="s">
        <v>346</v>
      </c>
      <c r="I26" s="80"/>
      <c r="J26" s="80"/>
      <c r="K26" s="80"/>
      <c r="L26" s="80"/>
      <c r="M26" s="80"/>
      <c r="N26" s="80"/>
      <c r="O26" s="80"/>
    </row>
    <row r="27" spans="1:15">
      <c r="A27" s="101" t="s">
        <v>347</v>
      </c>
      <c r="B27" s="98">
        <f t="shared" ref="B27:B34" si="0">D9</f>
        <v>-2556.13</v>
      </c>
      <c r="C27" s="98">
        <f t="shared" ref="C27:C34" si="1">I9</f>
        <v>-9008.74</v>
      </c>
      <c r="D27" s="98">
        <f t="shared" ref="D27:D40" si="2">B27+C27</f>
        <v>-11564.869999999999</v>
      </c>
      <c r="E27" s="80"/>
      <c r="F27" s="80"/>
      <c r="G27" s="102">
        <f>(B27/D27)</f>
        <v>0.22102539846967587</v>
      </c>
      <c r="H27" s="102">
        <f>C27/D27</f>
        <v>0.77897460153032416</v>
      </c>
      <c r="I27" s="80"/>
      <c r="J27" s="80"/>
      <c r="K27" s="80"/>
      <c r="L27" s="80"/>
      <c r="M27" s="80"/>
      <c r="N27" s="80"/>
      <c r="O27" s="80"/>
    </row>
    <row r="28" spans="1:15">
      <c r="A28" s="101" t="s">
        <v>348</v>
      </c>
      <c r="B28" s="98">
        <f t="shared" si="0"/>
        <v>-1754.12</v>
      </c>
      <c r="C28" s="98">
        <f t="shared" si="1"/>
        <v>-6741.94</v>
      </c>
      <c r="D28" s="98">
        <f t="shared" si="2"/>
        <v>-8496.06</v>
      </c>
      <c r="E28" s="80"/>
      <c r="F28" s="80"/>
      <c r="G28" s="102">
        <f>(B28/D28)</f>
        <v>0.20646276038540218</v>
      </c>
      <c r="H28" s="102">
        <f>C28/D28</f>
        <v>0.79353723961459788</v>
      </c>
      <c r="I28" s="80"/>
      <c r="J28" s="80"/>
      <c r="K28" s="80"/>
      <c r="L28" s="80"/>
      <c r="M28" s="80"/>
      <c r="N28" s="80"/>
      <c r="O28" s="80"/>
    </row>
    <row r="29" spans="1:15">
      <c r="A29" s="101" t="s">
        <v>349</v>
      </c>
      <c r="B29" s="98">
        <f t="shared" si="0"/>
        <v>-1105.8900000000001</v>
      </c>
      <c r="C29" s="98">
        <f t="shared" si="1"/>
        <v>-4448.6499999999996</v>
      </c>
      <c r="D29" s="98">
        <f t="shared" si="2"/>
        <v>-5554.54</v>
      </c>
      <c r="E29" s="80"/>
      <c r="F29" s="80"/>
      <c r="G29" s="102">
        <f>(B29/D29)</f>
        <v>0.19909659485753997</v>
      </c>
      <c r="H29" s="102">
        <f>C29/D29</f>
        <v>0.80090340514245995</v>
      </c>
      <c r="I29" s="80"/>
      <c r="J29" s="80"/>
      <c r="K29" s="80"/>
      <c r="L29" s="80"/>
      <c r="M29" s="80"/>
      <c r="N29" s="80"/>
      <c r="O29" s="80"/>
    </row>
    <row r="30" spans="1:15">
      <c r="A30" s="101" t="s">
        <v>350</v>
      </c>
      <c r="B30" s="98">
        <f t="shared" si="0"/>
        <v>-416.04</v>
      </c>
      <c r="C30" s="98">
        <f t="shared" si="1"/>
        <v>-2044.33</v>
      </c>
      <c r="D30" s="98">
        <f t="shared" si="2"/>
        <v>-2460.37</v>
      </c>
      <c r="E30" s="103"/>
      <c r="F30" s="103"/>
      <c r="G30" s="102">
        <f t="shared" ref="G30:G41" si="3">B30/D30</f>
        <v>0.16909651800338976</v>
      </c>
      <c r="H30" s="102">
        <v>0</v>
      </c>
      <c r="I30" s="80"/>
      <c r="J30" s="80"/>
      <c r="K30" s="80"/>
      <c r="L30" s="80"/>
      <c r="M30" s="80"/>
      <c r="N30" s="80"/>
      <c r="O30" s="80"/>
    </row>
    <row r="31" spans="1:15">
      <c r="A31" s="101" t="s">
        <v>351</v>
      </c>
      <c r="B31" s="98">
        <f t="shared" si="0"/>
        <v>0</v>
      </c>
      <c r="C31" s="98">
        <f t="shared" si="1"/>
        <v>0</v>
      </c>
      <c r="D31" s="98">
        <f t="shared" si="2"/>
        <v>0</v>
      </c>
      <c r="E31" s="103"/>
      <c r="F31" s="103"/>
      <c r="G31" s="102" t="e">
        <f t="shared" si="3"/>
        <v>#DIV/0!</v>
      </c>
      <c r="H31" s="102">
        <v>0</v>
      </c>
      <c r="I31" s="80"/>
      <c r="J31" s="80"/>
      <c r="K31" s="80"/>
      <c r="L31" s="80"/>
      <c r="M31" s="80"/>
      <c r="N31" s="80"/>
      <c r="O31" s="80"/>
    </row>
    <row r="32" spans="1:15">
      <c r="A32" s="101" t="s">
        <v>352</v>
      </c>
      <c r="B32" s="98">
        <f t="shared" si="0"/>
        <v>0</v>
      </c>
      <c r="C32" s="98">
        <f t="shared" si="1"/>
        <v>0</v>
      </c>
      <c r="D32" s="98">
        <f t="shared" si="2"/>
        <v>0</v>
      </c>
      <c r="E32" s="103"/>
      <c r="F32" s="103"/>
      <c r="G32" s="102" t="e">
        <f t="shared" si="3"/>
        <v>#DIV/0!</v>
      </c>
      <c r="H32" s="102">
        <v>0</v>
      </c>
      <c r="I32" s="80"/>
      <c r="J32" s="80"/>
      <c r="K32" s="80"/>
      <c r="L32" s="80"/>
      <c r="M32" s="80"/>
      <c r="N32" s="80"/>
      <c r="O32" s="80"/>
    </row>
    <row r="33" spans="1:15">
      <c r="A33" s="101" t="s">
        <v>353</v>
      </c>
      <c r="B33" s="98">
        <f t="shared" si="0"/>
        <v>0</v>
      </c>
      <c r="C33" s="98">
        <f t="shared" si="1"/>
        <v>0</v>
      </c>
      <c r="D33" s="98">
        <f t="shared" si="2"/>
        <v>0</v>
      </c>
      <c r="E33" s="103"/>
      <c r="F33" s="103"/>
      <c r="G33" s="102" t="e">
        <f t="shared" si="3"/>
        <v>#DIV/0!</v>
      </c>
      <c r="H33" s="102">
        <v>0</v>
      </c>
      <c r="I33" s="80"/>
      <c r="J33" s="80"/>
      <c r="K33" s="80"/>
      <c r="L33" s="80"/>
      <c r="M33" s="80"/>
      <c r="N33" s="80"/>
      <c r="O33" s="80"/>
    </row>
    <row r="34" spans="1:15">
      <c r="A34" s="101" t="s">
        <v>354</v>
      </c>
      <c r="B34" s="98">
        <f t="shared" si="0"/>
        <v>0</v>
      </c>
      <c r="C34" s="98">
        <f t="shared" si="1"/>
        <v>0</v>
      </c>
      <c r="D34" s="98">
        <f t="shared" si="2"/>
        <v>0</v>
      </c>
      <c r="E34" s="103"/>
      <c r="F34" s="103"/>
      <c r="G34" s="102" t="e">
        <f t="shared" si="3"/>
        <v>#DIV/0!</v>
      </c>
      <c r="H34" s="102">
        <v>0</v>
      </c>
      <c r="I34" s="80"/>
      <c r="J34" s="80"/>
      <c r="K34" s="80"/>
      <c r="L34" s="80"/>
      <c r="M34" s="80"/>
      <c r="N34" s="80"/>
      <c r="O34" s="80"/>
    </row>
    <row r="35" spans="1:15" s="75" customFormat="1">
      <c r="A35" s="101" t="s">
        <v>765</v>
      </c>
      <c r="B35" s="98">
        <f t="shared" ref="B35:B40" si="4">D17</f>
        <v>0</v>
      </c>
      <c r="C35" s="98">
        <f t="shared" ref="C35:C40" si="5">I17</f>
        <v>0</v>
      </c>
      <c r="D35" s="98">
        <f t="shared" si="2"/>
        <v>0</v>
      </c>
      <c r="E35" s="103"/>
      <c r="F35" s="103"/>
      <c r="G35" s="102" t="e">
        <f t="shared" si="3"/>
        <v>#DIV/0!</v>
      </c>
      <c r="H35" s="102">
        <v>0</v>
      </c>
      <c r="I35" s="80"/>
      <c r="J35" s="80"/>
      <c r="K35" s="80"/>
      <c r="L35" s="80"/>
      <c r="M35" s="80"/>
      <c r="N35" s="80"/>
      <c r="O35" s="80"/>
    </row>
    <row r="36" spans="1:15" s="75" customFormat="1">
      <c r="A36" s="101" t="s">
        <v>766</v>
      </c>
      <c r="B36" s="98">
        <f t="shared" si="4"/>
        <v>0</v>
      </c>
      <c r="C36" s="98">
        <f t="shared" si="5"/>
        <v>0</v>
      </c>
      <c r="D36" s="98">
        <f t="shared" si="2"/>
        <v>0</v>
      </c>
      <c r="E36" s="103"/>
      <c r="F36" s="103"/>
      <c r="G36" s="102" t="e">
        <f t="shared" si="3"/>
        <v>#DIV/0!</v>
      </c>
      <c r="H36" s="102">
        <v>0</v>
      </c>
      <c r="I36" s="80"/>
      <c r="J36" s="80"/>
      <c r="K36" s="80"/>
      <c r="L36" s="80"/>
      <c r="M36" s="80"/>
      <c r="N36" s="80"/>
      <c r="O36" s="80"/>
    </row>
    <row r="37" spans="1:15" s="75" customFormat="1">
      <c r="A37" s="101" t="s">
        <v>767</v>
      </c>
      <c r="B37" s="98">
        <f t="shared" si="4"/>
        <v>0</v>
      </c>
      <c r="C37" s="98">
        <f t="shared" si="5"/>
        <v>0</v>
      </c>
      <c r="D37" s="98">
        <f t="shared" si="2"/>
        <v>0</v>
      </c>
      <c r="E37" s="103"/>
      <c r="F37" s="103"/>
      <c r="G37" s="102" t="e">
        <f t="shared" si="3"/>
        <v>#DIV/0!</v>
      </c>
      <c r="H37" s="102">
        <v>0</v>
      </c>
      <c r="I37" s="80"/>
      <c r="J37" s="80"/>
      <c r="K37" s="80"/>
      <c r="L37" s="80"/>
      <c r="M37" s="80"/>
      <c r="N37" s="80"/>
      <c r="O37" s="80"/>
    </row>
    <row r="38" spans="1:15" s="75" customFormat="1">
      <c r="A38" s="101" t="s">
        <v>768</v>
      </c>
      <c r="B38" s="98">
        <f t="shared" si="4"/>
        <v>0</v>
      </c>
      <c r="C38" s="98">
        <f t="shared" si="5"/>
        <v>0</v>
      </c>
      <c r="D38" s="98">
        <f t="shared" si="2"/>
        <v>0</v>
      </c>
      <c r="E38" s="103"/>
      <c r="F38" s="103"/>
      <c r="G38" s="102" t="e">
        <f t="shared" si="3"/>
        <v>#DIV/0!</v>
      </c>
      <c r="H38" s="102">
        <v>0</v>
      </c>
      <c r="I38" s="80"/>
      <c r="J38" s="80"/>
      <c r="K38" s="80"/>
      <c r="L38" s="80"/>
      <c r="M38" s="80"/>
      <c r="N38" s="80"/>
      <c r="O38" s="80"/>
    </row>
    <row r="39" spans="1:15" s="75" customFormat="1">
      <c r="A39" s="101" t="s">
        <v>769</v>
      </c>
      <c r="B39" s="98">
        <f t="shared" si="4"/>
        <v>0</v>
      </c>
      <c r="C39" s="98">
        <f t="shared" si="5"/>
        <v>0</v>
      </c>
      <c r="D39" s="98">
        <f t="shared" si="2"/>
        <v>0</v>
      </c>
      <c r="E39" s="103"/>
      <c r="F39" s="103"/>
      <c r="G39" s="102" t="e">
        <f t="shared" si="3"/>
        <v>#DIV/0!</v>
      </c>
      <c r="H39" s="102">
        <v>0</v>
      </c>
      <c r="I39" s="80"/>
      <c r="J39" s="80"/>
      <c r="K39" s="80"/>
      <c r="L39" s="80"/>
      <c r="M39" s="80"/>
      <c r="N39" s="80"/>
      <c r="O39" s="80"/>
    </row>
    <row r="40" spans="1:15" s="75" customFormat="1">
      <c r="A40" s="101" t="s">
        <v>764</v>
      </c>
      <c r="B40" s="98">
        <f t="shared" si="4"/>
        <v>0</v>
      </c>
      <c r="C40" s="98">
        <f t="shared" si="5"/>
        <v>0</v>
      </c>
      <c r="D40" s="98">
        <f t="shared" si="2"/>
        <v>0</v>
      </c>
      <c r="E40" s="103"/>
      <c r="F40" s="103"/>
      <c r="G40" s="102" t="e">
        <f t="shared" si="3"/>
        <v>#DIV/0!</v>
      </c>
      <c r="H40" s="102">
        <v>0</v>
      </c>
      <c r="I40" s="80"/>
      <c r="J40" s="80"/>
      <c r="K40" s="80"/>
      <c r="L40" s="80"/>
      <c r="M40" s="80"/>
      <c r="N40" s="80"/>
      <c r="O40" s="80"/>
    </row>
    <row r="41" spans="1:15">
      <c r="A41" s="95" t="s">
        <v>355</v>
      </c>
      <c r="B41" s="104">
        <f>SUM(B27:B40)</f>
        <v>-5832.18</v>
      </c>
      <c r="C41" s="104">
        <f>SUM(C27:C40)</f>
        <v>-22243.660000000003</v>
      </c>
      <c r="D41" s="104">
        <f>SUM(D27:D40)</f>
        <v>-28075.84</v>
      </c>
      <c r="E41" s="105"/>
      <c r="F41" s="106"/>
      <c r="G41" s="107">
        <f t="shared" si="3"/>
        <v>0.20772949268837548</v>
      </c>
      <c r="H41" s="107">
        <f>C41/D41</f>
        <v>0.79227050731162463</v>
      </c>
      <c r="I41" s="80"/>
      <c r="J41" s="80"/>
      <c r="K41" s="80"/>
      <c r="L41" s="80"/>
      <c r="M41" s="80"/>
      <c r="N41" s="80"/>
      <c r="O41" s="80"/>
    </row>
    <row r="42" spans="1:15">
      <c r="A42" s="80"/>
      <c r="B42" s="108"/>
      <c r="C42" s="108"/>
      <c r="D42" s="108"/>
      <c r="E42" s="109"/>
      <c r="F42" s="109"/>
      <c r="G42" s="108"/>
      <c r="H42" s="108"/>
      <c r="I42" s="80"/>
      <c r="J42" s="80"/>
      <c r="K42" s="80"/>
      <c r="L42" s="80"/>
      <c r="M42" s="80"/>
      <c r="N42" s="80"/>
      <c r="O42" s="80"/>
    </row>
    <row r="43" spans="1:15" ht="15.75">
      <c r="A43" s="93" t="s">
        <v>356</v>
      </c>
      <c r="B43" s="109"/>
      <c r="C43" s="109"/>
      <c r="D43" s="109"/>
      <c r="E43" s="109"/>
      <c r="F43" s="109"/>
      <c r="G43" s="109"/>
      <c r="H43" s="109"/>
      <c r="I43" s="80"/>
      <c r="J43" s="80"/>
      <c r="K43" s="80"/>
      <c r="L43" s="80"/>
      <c r="M43" s="80"/>
      <c r="N43" s="80"/>
      <c r="O43" s="80"/>
    </row>
    <row r="44" spans="1:15">
      <c r="A44" s="80"/>
      <c r="B44" s="109"/>
      <c r="C44" s="109"/>
      <c r="D44" s="109"/>
      <c r="E44" s="109"/>
      <c r="F44" s="109"/>
      <c r="G44" s="109"/>
      <c r="H44" s="109"/>
      <c r="I44" s="80"/>
      <c r="J44" s="80"/>
      <c r="K44" s="80"/>
      <c r="L44" s="80"/>
      <c r="M44" s="80"/>
      <c r="N44" s="80"/>
      <c r="O44" s="80"/>
    </row>
    <row r="45" spans="1:15" ht="15.75" thickBot="1">
      <c r="A45" s="95" t="s">
        <v>337</v>
      </c>
      <c r="B45" s="110" t="s">
        <v>342</v>
      </c>
      <c r="C45" s="97" t="s">
        <v>343</v>
      </c>
      <c r="D45" s="98" t="s">
        <v>344</v>
      </c>
      <c r="E45" s="67"/>
      <c r="F45" s="67"/>
      <c r="G45" s="99" t="s">
        <v>357</v>
      </c>
      <c r="H45" s="111" t="s">
        <v>358</v>
      </c>
      <c r="I45" s="80"/>
      <c r="J45" s="80"/>
      <c r="K45" s="80"/>
      <c r="L45" s="80"/>
      <c r="M45" s="80"/>
      <c r="N45" s="80"/>
      <c r="O45" s="80"/>
    </row>
    <row r="46" spans="1:15" ht="16.5" thickTop="1" thickBot="1">
      <c r="A46" s="101" t="s">
        <v>347</v>
      </c>
      <c r="B46" s="98">
        <f t="shared" ref="B46:B53" si="6">B9</f>
        <v>415.1</v>
      </c>
      <c r="C46" s="98">
        <f t="shared" ref="C46:C53" si="7">G9</f>
        <v>154.38999999999999</v>
      </c>
      <c r="D46" s="98">
        <f t="shared" ref="D46:D53" si="8">B46+C46</f>
        <v>569.49</v>
      </c>
      <c r="E46" s="80"/>
      <c r="F46" s="80"/>
      <c r="G46" s="102">
        <f>(B46/D46)</f>
        <v>0.72889778573811659</v>
      </c>
      <c r="H46" s="102">
        <f t="shared" ref="H46:H53" si="9">C46/D46</f>
        <v>0.27110221426188341</v>
      </c>
      <c r="I46" s="80"/>
      <c r="J46" s="80"/>
      <c r="K46" s="649"/>
      <c r="L46" s="650"/>
      <c r="M46" s="651"/>
      <c r="N46" s="80"/>
      <c r="O46" s="80"/>
    </row>
    <row r="47" spans="1:15" ht="15.75" thickTop="1">
      <c r="A47" s="101" t="s">
        <v>348</v>
      </c>
      <c r="B47" s="98">
        <f t="shared" si="6"/>
        <v>215.76</v>
      </c>
      <c r="C47" s="98">
        <f t="shared" si="7"/>
        <v>203.77</v>
      </c>
      <c r="D47" s="98">
        <f t="shared" si="8"/>
        <v>419.53</v>
      </c>
      <c r="E47" s="80"/>
      <c r="F47" s="80"/>
      <c r="G47" s="102">
        <f>(B47/D47)</f>
        <v>0.51428980049102568</v>
      </c>
      <c r="H47" s="102">
        <f t="shared" si="9"/>
        <v>0.48571019950897437</v>
      </c>
      <c r="I47" s="80"/>
      <c r="J47" s="80"/>
      <c r="K47" s="80"/>
      <c r="L47" s="80"/>
      <c r="M47" s="80"/>
      <c r="N47" s="80"/>
      <c r="O47" s="80"/>
    </row>
    <row r="48" spans="1:15">
      <c r="A48" s="101" t="s">
        <v>349</v>
      </c>
      <c r="B48" s="98">
        <f t="shared" si="6"/>
        <v>0</v>
      </c>
      <c r="C48" s="98">
        <f t="shared" si="7"/>
        <v>45.02</v>
      </c>
      <c r="D48" s="98">
        <f t="shared" si="8"/>
        <v>45.02</v>
      </c>
      <c r="E48" s="80"/>
      <c r="F48" s="80"/>
      <c r="G48" s="102">
        <f>(B48/D48)</f>
        <v>0</v>
      </c>
      <c r="H48" s="102">
        <f t="shared" si="9"/>
        <v>1</v>
      </c>
      <c r="I48" s="80"/>
      <c r="J48" s="80"/>
      <c r="K48" s="80"/>
      <c r="L48" s="80"/>
      <c r="M48" s="80"/>
      <c r="N48" s="80"/>
      <c r="O48" s="80"/>
    </row>
    <row r="49" spans="1:15">
      <c r="A49" s="101" t="s">
        <v>350</v>
      </c>
      <c r="B49" s="98">
        <f t="shared" si="6"/>
        <v>0</v>
      </c>
      <c r="C49" s="98">
        <f t="shared" si="7"/>
        <v>0</v>
      </c>
      <c r="D49" s="98">
        <f t="shared" si="8"/>
        <v>0</v>
      </c>
      <c r="E49" s="103"/>
      <c r="F49" s="103"/>
      <c r="G49" s="102" t="e">
        <f>B49/D49</f>
        <v>#DIV/0!</v>
      </c>
      <c r="H49" s="102" t="e">
        <f t="shared" si="9"/>
        <v>#DIV/0!</v>
      </c>
      <c r="I49" s="80"/>
      <c r="J49" s="80"/>
      <c r="K49" s="80"/>
      <c r="L49" s="112"/>
      <c r="M49" s="80"/>
      <c r="N49" s="80"/>
      <c r="O49" s="80"/>
    </row>
    <row r="50" spans="1:15">
      <c r="A50" s="101" t="s">
        <v>351</v>
      </c>
      <c r="B50" s="98">
        <f t="shared" si="6"/>
        <v>0</v>
      </c>
      <c r="C50" s="98">
        <f t="shared" si="7"/>
        <v>0</v>
      </c>
      <c r="D50" s="98">
        <f t="shared" si="8"/>
        <v>0</v>
      </c>
      <c r="E50" s="103"/>
      <c r="F50" s="103"/>
      <c r="G50" s="102" t="e">
        <f>B50/D50</f>
        <v>#DIV/0!</v>
      </c>
      <c r="H50" s="102" t="e">
        <f t="shared" si="9"/>
        <v>#DIV/0!</v>
      </c>
      <c r="I50" s="80"/>
      <c r="J50" s="80"/>
      <c r="K50" s="80"/>
      <c r="L50" s="80"/>
      <c r="M50" s="80"/>
      <c r="N50" s="80"/>
      <c r="O50" s="80"/>
    </row>
    <row r="51" spans="1:15">
      <c r="A51" s="101" t="s">
        <v>352</v>
      </c>
      <c r="B51" s="98">
        <f t="shared" si="6"/>
        <v>0</v>
      </c>
      <c r="C51" s="98">
        <f t="shared" si="7"/>
        <v>0</v>
      </c>
      <c r="D51" s="98">
        <f t="shared" si="8"/>
        <v>0</v>
      </c>
      <c r="E51" s="103"/>
      <c r="F51" s="103"/>
      <c r="G51" s="102" t="e">
        <f>B51/D51</f>
        <v>#DIV/0!</v>
      </c>
      <c r="H51" s="102" t="e">
        <f t="shared" si="9"/>
        <v>#DIV/0!</v>
      </c>
      <c r="I51" s="80"/>
      <c r="J51" s="80"/>
      <c r="K51" s="80"/>
      <c r="L51" s="80"/>
      <c r="M51" s="80"/>
      <c r="N51" s="80"/>
      <c r="O51" s="80"/>
    </row>
    <row r="52" spans="1:15">
      <c r="A52" s="101" t="s">
        <v>353</v>
      </c>
      <c r="B52" s="98">
        <f t="shared" si="6"/>
        <v>0</v>
      </c>
      <c r="C52" s="98">
        <f t="shared" si="7"/>
        <v>0</v>
      </c>
      <c r="D52" s="98">
        <f t="shared" si="8"/>
        <v>0</v>
      </c>
      <c r="E52" s="103"/>
      <c r="F52" s="103"/>
      <c r="G52" s="102" t="e">
        <f>B52/D52</f>
        <v>#DIV/0!</v>
      </c>
      <c r="H52" s="102" t="e">
        <f t="shared" si="9"/>
        <v>#DIV/0!</v>
      </c>
      <c r="I52" s="80"/>
      <c r="J52" s="80"/>
      <c r="K52" s="80"/>
      <c r="L52" s="80"/>
      <c r="M52" s="80"/>
      <c r="N52" s="80"/>
      <c r="O52" s="80"/>
    </row>
    <row r="53" spans="1:15">
      <c r="A53" s="101" t="s">
        <v>354</v>
      </c>
      <c r="B53" s="98">
        <f t="shared" si="6"/>
        <v>0</v>
      </c>
      <c r="C53" s="98">
        <f t="shared" si="7"/>
        <v>0</v>
      </c>
      <c r="D53" s="98">
        <f t="shared" si="8"/>
        <v>0</v>
      </c>
      <c r="E53" s="103"/>
      <c r="F53" s="103"/>
      <c r="G53" s="102" t="e">
        <f>B53/D53</f>
        <v>#DIV/0!</v>
      </c>
      <c r="H53" s="102" t="e">
        <f t="shared" si="9"/>
        <v>#DIV/0!</v>
      </c>
      <c r="I53" s="80"/>
      <c r="J53" s="80"/>
      <c r="K53" s="80"/>
      <c r="L53" s="80"/>
      <c r="M53" s="80"/>
      <c r="N53" s="80"/>
      <c r="O53" s="80"/>
    </row>
    <row r="54" spans="1:15" s="75" customFormat="1">
      <c r="A54" s="101"/>
      <c r="B54" s="98"/>
      <c r="C54" s="98"/>
      <c r="D54" s="98"/>
      <c r="E54" s="103"/>
      <c r="F54" s="103"/>
      <c r="G54" s="102"/>
      <c r="H54" s="102"/>
      <c r="I54" s="80"/>
      <c r="J54" s="80"/>
      <c r="K54" s="80"/>
      <c r="L54" s="80"/>
      <c r="M54" s="80"/>
      <c r="N54" s="80"/>
      <c r="O54" s="80"/>
    </row>
    <row r="55" spans="1:15" s="75" customFormat="1">
      <c r="A55" s="101"/>
      <c r="B55" s="98"/>
      <c r="C55" s="98"/>
      <c r="D55" s="98"/>
      <c r="E55" s="103"/>
      <c r="F55" s="103"/>
      <c r="G55" s="102"/>
      <c r="H55" s="102"/>
      <c r="I55" s="80"/>
      <c r="J55" s="80"/>
      <c r="K55" s="80"/>
      <c r="L55" s="80"/>
      <c r="M55" s="80"/>
      <c r="N55" s="80"/>
      <c r="O55" s="80"/>
    </row>
    <row r="56" spans="1:15" s="75" customFormat="1">
      <c r="A56" s="101"/>
      <c r="B56" s="98"/>
      <c r="C56" s="98"/>
      <c r="D56" s="98"/>
      <c r="E56" s="103"/>
      <c r="F56" s="103"/>
      <c r="G56" s="102"/>
      <c r="H56" s="102"/>
      <c r="I56" s="80"/>
      <c r="J56" s="80"/>
      <c r="K56" s="80"/>
      <c r="L56" s="80"/>
      <c r="M56" s="80"/>
      <c r="N56" s="80"/>
      <c r="O56" s="80"/>
    </row>
    <row r="57" spans="1:15" s="75" customFormat="1">
      <c r="A57" s="101"/>
      <c r="B57" s="98"/>
      <c r="C57" s="98"/>
      <c r="D57" s="98"/>
      <c r="E57" s="103"/>
      <c r="F57" s="103"/>
      <c r="G57" s="102"/>
      <c r="H57" s="102"/>
      <c r="I57" s="80"/>
      <c r="J57" s="80"/>
      <c r="K57" s="80"/>
      <c r="L57" s="80"/>
      <c r="M57" s="80"/>
      <c r="N57" s="80"/>
      <c r="O57" s="80"/>
    </row>
    <row r="58" spans="1:15" s="75" customFormat="1">
      <c r="A58" s="101"/>
      <c r="B58" s="98"/>
      <c r="C58" s="98"/>
      <c r="D58" s="98"/>
      <c r="E58" s="103"/>
      <c r="F58" s="103"/>
      <c r="G58" s="102"/>
      <c r="H58" s="102"/>
      <c r="I58" s="80"/>
      <c r="J58" s="80"/>
      <c r="K58" s="80"/>
      <c r="L58" s="80"/>
      <c r="M58" s="80"/>
      <c r="N58" s="80"/>
      <c r="O58" s="80"/>
    </row>
    <row r="59" spans="1:15" s="75" customFormat="1">
      <c r="A59" s="101"/>
      <c r="B59" s="98"/>
      <c r="C59" s="98"/>
      <c r="D59" s="98"/>
      <c r="E59" s="103"/>
      <c r="F59" s="103"/>
      <c r="G59" s="102"/>
      <c r="H59" s="102"/>
      <c r="I59" s="80"/>
      <c r="J59" s="80"/>
      <c r="K59" s="80"/>
      <c r="L59" s="80"/>
      <c r="M59" s="80"/>
      <c r="N59" s="80"/>
      <c r="O59" s="80"/>
    </row>
    <row r="60" spans="1:15">
      <c r="A60" s="95" t="s">
        <v>355</v>
      </c>
      <c r="B60" s="113">
        <f>SUM(B46:B53)</f>
        <v>630.86</v>
      </c>
      <c r="C60" s="113">
        <f>SUM(C46:C53)</f>
        <v>403.17999999999995</v>
      </c>
      <c r="D60" s="113">
        <f>SUM(D46:D53)</f>
        <v>1034.04</v>
      </c>
      <c r="E60" s="105"/>
      <c r="F60" s="106"/>
      <c r="G60" s="114">
        <f>+B60/D60</f>
        <v>0.61009245290317593</v>
      </c>
      <c r="H60" s="114">
        <f>+C60/D60</f>
        <v>0.38990754709682407</v>
      </c>
      <c r="I60" s="80"/>
      <c r="J60" s="80"/>
      <c r="K60" s="80"/>
      <c r="L60" s="80"/>
      <c r="M60" s="80"/>
      <c r="N60" s="80"/>
      <c r="O60" s="80"/>
    </row>
    <row r="61" spans="1:15">
      <c r="A61" s="80"/>
      <c r="B61" s="80"/>
      <c r="C61" s="80"/>
      <c r="D61" s="80"/>
      <c r="E61" s="80"/>
      <c r="F61" s="80"/>
      <c r="G61" s="80"/>
      <c r="H61" s="80"/>
      <c r="I61" s="80"/>
      <c r="J61" s="80"/>
      <c r="K61" s="80"/>
      <c r="L61" s="80"/>
      <c r="M61" s="80"/>
      <c r="N61" s="80"/>
      <c r="O61" s="80"/>
    </row>
    <row r="62" spans="1:15" ht="15.75">
      <c r="A62" s="93" t="s">
        <v>359</v>
      </c>
      <c r="B62" s="109"/>
      <c r="C62" s="109"/>
      <c r="D62" s="109"/>
      <c r="E62" s="109"/>
      <c r="F62" s="109"/>
      <c r="G62" s="109"/>
      <c r="H62" s="109"/>
      <c r="I62" s="80"/>
      <c r="J62" s="80"/>
      <c r="K62" s="80"/>
      <c r="L62" s="80"/>
      <c r="M62" s="80"/>
      <c r="N62" s="80"/>
      <c r="O62" s="80"/>
    </row>
    <row r="63" spans="1:15">
      <c r="A63" s="80"/>
      <c r="B63" s="109"/>
      <c r="C63" s="109"/>
      <c r="D63" s="109"/>
      <c r="E63" s="109"/>
      <c r="F63" s="109"/>
      <c r="G63" s="109"/>
      <c r="H63" s="109"/>
      <c r="I63" s="80"/>
      <c r="J63" s="80"/>
      <c r="K63" s="80"/>
      <c r="L63" s="80"/>
      <c r="M63" s="80"/>
      <c r="N63" s="80"/>
      <c r="O63" s="80"/>
    </row>
    <row r="64" spans="1:15">
      <c r="A64" s="95" t="s">
        <v>337</v>
      </c>
      <c r="B64" s="96" t="s">
        <v>342</v>
      </c>
      <c r="C64" s="97" t="s">
        <v>343</v>
      </c>
      <c r="D64" s="98" t="s">
        <v>344</v>
      </c>
      <c r="E64" s="67"/>
      <c r="F64" s="67"/>
      <c r="G64" s="99" t="s">
        <v>360</v>
      </c>
      <c r="H64" s="111" t="s">
        <v>361</v>
      </c>
      <c r="I64" s="80"/>
      <c r="J64" s="80"/>
      <c r="K64" s="80"/>
      <c r="L64" s="80"/>
      <c r="M64" s="80"/>
      <c r="N64" s="80"/>
      <c r="O64" s="80"/>
    </row>
    <row r="65" spans="1:15">
      <c r="A65" s="101" t="s">
        <v>347</v>
      </c>
      <c r="B65" s="98">
        <f>C9</f>
        <v>465.69</v>
      </c>
      <c r="C65" s="98">
        <f>H9</f>
        <v>134.55000000000001</v>
      </c>
      <c r="D65" s="98">
        <f t="shared" ref="D65:D72" si="10">B65+C65</f>
        <v>600.24</v>
      </c>
      <c r="E65" s="80"/>
      <c r="F65" s="80"/>
      <c r="G65" s="102">
        <f>(B65/D65)</f>
        <v>0.77583966413434624</v>
      </c>
      <c r="H65" s="102">
        <f>C65/D65</f>
        <v>0.22416033586565376</v>
      </c>
      <c r="I65" s="80"/>
      <c r="J65" s="80"/>
      <c r="K65" s="80"/>
      <c r="L65" s="80"/>
      <c r="M65" s="80"/>
      <c r="N65" s="80"/>
      <c r="O65" s="80"/>
    </row>
    <row r="66" spans="1:15">
      <c r="A66" s="101" t="s">
        <v>348</v>
      </c>
      <c r="B66" s="98">
        <f t="shared" ref="B66:B72" si="11">C10</f>
        <v>283.08</v>
      </c>
      <c r="C66" s="98">
        <f t="shared" ref="C66:C72" si="12">H10</f>
        <v>151.63</v>
      </c>
      <c r="D66" s="98">
        <f t="shared" si="10"/>
        <v>434.71</v>
      </c>
      <c r="E66" s="80"/>
      <c r="F66" s="80"/>
      <c r="G66" s="102">
        <f>(B66/D66)</f>
        <v>0.65119274918911463</v>
      </c>
      <c r="H66" s="102">
        <f>C66/D66</f>
        <v>0.34880725081088543</v>
      </c>
      <c r="I66" s="80"/>
      <c r="J66" s="80"/>
      <c r="K66" s="80"/>
      <c r="L66" s="80"/>
      <c r="M66" s="80"/>
      <c r="N66" s="80"/>
      <c r="O66" s="80"/>
    </row>
    <row r="67" spans="1:15">
      <c r="A67" s="101" t="s">
        <v>349</v>
      </c>
      <c r="B67" s="98">
        <f t="shared" si="11"/>
        <v>0</v>
      </c>
      <c r="C67" s="98">
        <f t="shared" si="12"/>
        <v>46.94</v>
      </c>
      <c r="D67" s="98">
        <f t="shared" si="10"/>
        <v>46.94</v>
      </c>
      <c r="E67" s="80"/>
      <c r="F67" s="80"/>
      <c r="G67" s="102">
        <f>(B67/D67)</f>
        <v>0</v>
      </c>
      <c r="H67" s="102">
        <f>C67/D67</f>
        <v>1</v>
      </c>
      <c r="I67" s="80"/>
      <c r="J67" s="80"/>
      <c r="K67" s="80"/>
      <c r="L67" s="80"/>
      <c r="M67" s="80"/>
      <c r="N67" s="80"/>
      <c r="O67" s="80"/>
    </row>
    <row r="68" spans="1:15">
      <c r="A68" s="101" t="s">
        <v>350</v>
      </c>
      <c r="B68" s="98">
        <f t="shared" si="11"/>
        <v>0</v>
      </c>
      <c r="C68" s="98">
        <f t="shared" si="12"/>
        <v>0</v>
      </c>
      <c r="D68" s="98">
        <f t="shared" si="10"/>
        <v>0</v>
      </c>
      <c r="E68" s="103"/>
      <c r="F68" s="103"/>
      <c r="G68" s="102">
        <v>0</v>
      </c>
      <c r="H68" s="102">
        <v>0</v>
      </c>
      <c r="I68" s="80"/>
      <c r="J68" s="80"/>
      <c r="K68" s="80"/>
      <c r="L68" s="80"/>
      <c r="M68" s="80"/>
      <c r="N68" s="80"/>
      <c r="O68" s="80"/>
    </row>
    <row r="69" spans="1:15">
      <c r="A69" s="101" t="s">
        <v>351</v>
      </c>
      <c r="B69" s="98">
        <f t="shared" si="11"/>
        <v>0</v>
      </c>
      <c r="C69" s="98">
        <f t="shared" si="12"/>
        <v>0</v>
      </c>
      <c r="D69" s="98">
        <f t="shared" si="10"/>
        <v>0</v>
      </c>
      <c r="E69" s="103"/>
      <c r="F69" s="103"/>
      <c r="G69" s="102">
        <v>0</v>
      </c>
      <c r="H69" s="102">
        <v>0</v>
      </c>
      <c r="I69" s="80"/>
      <c r="J69" s="80"/>
      <c r="K69" s="80"/>
      <c r="L69" s="80"/>
      <c r="M69" s="80"/>
      <c r="N69" s="80"/>
      <c r="O69" s="80"/>
    </row>
    <row r="70" spans="1:15">
      <c r="A70" s="101" t="s">
        <v>352</v>
      </c>
      <c r="B70" s="98">
        <f t="shared" si="11"/>
        <v>0</v>
      </c>
      <c r="C70" s="98">
        <f t="shared" si="12"/>
        <v>0</v>
      </c>
      <c r="D70" s="98">
        <f t="shared" si="10"/>
        <v>0</v>
      </c>
      <c r="E70" s="103"/>
      <c r="F70" s="103"/>
      <c r="G70" s="102">
        <v>0</v>
      </c>
      <c r="H70" s="102">
        <v>0</v>
      </c>
      <c r="I70" s="80"/>
      <c r="J70" s="80"/>
      <c r="K70" s="80"/>
      <c r="L70" s="80"/>
      <c r="M70" s="80"/>
      <c r="N70" s="80"/>
      <c r="O70" s="80"/>
    </row>
    <row r="71" spans="1:15">
      <c r="A71" s="101" t="s">
        <v>353</v>
      </c>
      <c r="B71" s="98">
        <f t="shared" si="11"/>
        <v>0</v>
      </c>
      <c r="C71" s="98">
        <f t="shared" si="12"/>
        <v>0</v>
      </c>
      <c r="D71" s="98">
        <f t="shared" si="10"/>
        <v>0</v>
      </c>
      <c r="E71" s="103"/>
      <c r="F71" s="103"/>
      <c r="G71" s="102">
        <v>0</v>
      </c>
      <c r="H71" s="102">
        <v>0</v>
      </c>
      <c r="I71" s="80"/>
      <c r="J71" s="80"/>
      <c r="K71" s="80"/>
      <c r="L71" s="80"/>
      <c r="M71" s="80"/>
      <c r="N71" s="80"/>
      <c r="O71" s="80"/>
    </row>
    <row r="72" spans="1:15">
      <c r="A72" s="101" t="s">
        <v>354</v>
      </c>
      <c r="B72" s="98">
        <f t="shared" si="11"/>
        <v>0</v>
      </c>
      <c r="C72" s="98">
        <f t="shared" si="12"/>
        <v>0</v>
      </c>
      <c r="D72" s="98">
        <f t="shared" si="10"/>
        <v>0</v>
      </c>
      <c r="E72" s="103"/>
      <c r="F72" s="103"/>
      <c r="G72" s="102">
        <v>0</v>
      </c>
      <c r="H72" s="102">
        <v>0</v>
      </c>
      <c r="I72" s="80"/>
      <c r="J72" s="80"/>
      <c r="K72" s="80"/>
      <c r="L72" s="80"/>
      <c r="M72" s="80"/>
      <c r="N72" s="80"/>
      <c r="O72" s="80"/>
    </row>
    <row r="73" spans="1:15" s="75" customFormat="1">
      <c r="A73" s="101"/>
      <c r="B73" s="98"/>
      <c r="C73" s="98"/>
      <c r="D73" s="98"/>
      <c r="E73" s="103"/>
      <c r="F73" s="103"/>
      <c r="G73" s="102"/>
      <c r="H73" s="102"/>
      <c r="I73" s="80"/>
      <c r="J73" s="80"/>
      <c r="K73" s="80"/>
      <c r="L73" s="80"/>
      <c r="M73" s="80"/>
      <c r="N73" s="80"/>
      <c r="O73" s="80"/>
    </row>
    <row r="74" spans="1:15" s="75" customFormat="1">
      <c r="A74" s="101"/>
      <c r="B74" s="98"/>
      <c r="C74" s="98"/>
      <c r="D74" s="98"/>
      <c r="E74" s="103"/>
      <c r="F74" s="103"/>
      <c r="G74" s="102"/>
      <c r="H74" s="102"/>
      <c r="I74" s="80"/>
      <c r="J74" s="80"/>
      <c r="K74" s="80"/>
      <c r="L74" s="80"/>
      <c r="M74" s="80"/>
      <c r="N74" s="80"/>
      <c r="O74" s="80"/>
    </row>
    <row r="75" spans="1:15" s="75" customFormat="1">
      <c r="A75" s="101"/>
      <c r="B75" s="98"/>
      <c r="C75" s="98"/>
      <c r="D75" s="98"/>
      <c r="E75" s="103"/>
      <c r="F75" s="103"/>
      <c r="G75" s="102"/>
      <c r="H75" s="102"/>
      <c r="I75" s="80"/>
      <c r="J75" s="80"/>
      <c r="K75" s="80"/>
      <c r="L75" s="80"/>
      <c r="M75" s="80"/>
      <c r="N75" s="80"/>
      <c r="O75" s="80"/>
    </row>
    <row r="76" spans="1:15" s="75" customFormat="1">
      <c r="A76" s="101"/>
      <c r="B76" s="98"/>
      <c r="C76" s="98"/>
      <c r="D76" s="98"/>
      <c r="E76" s="103"/>
      <c r="F76" s="103"/>
      <c r="G76" s="102"/>
      <c r="H76" s="102"/>
      <c r="I76" s="80"/>
      <c r="J76" s="80"/>
      <c r="K76" s="80"/>
      <c r="L76" s="80"/>
      <c r="M76" s="80"/>
      <c r="N76" s="80"/>
      <c r="O76" s="80"/>
    </row>
    <row r="77" spans="1:15" s="75" customFormat="1">
      <c r="A77" s="101"/>
      <c r="B77" s="98"/>
      <c r="C77" s="98"/>
      <c r="D77" s="98"/>
      <c r="E77" s="103"/>
      <c r="F77" s="103"/>
      <c r="G77" s="102"/>
      <c r="H77" s="102"/>
      <c r="I77" s="80"/>
      <c r="J77" s="80"/>
      <c r="K77" s="80"/>
      <c r="L77" s="80"/>
      <c r="M77" s="80"/>
      <c r="N77" s="80"/>
      <c r="O77" s="80"/>
    </row>
    <row r="78" spans="1:15" s="75" customFormat="1">
      <c r="A78" s="101"/>
      <c r="B78" s="98"/>
      <c r="C78" s="98"/>
      <c r="D78" s="98"/>
      <c r="E78" s="103"/>
      <c r="F78" s="103"/>
      <c r="G78" s="102"/>
      <c r="H78" s="102"/>
      <c r="I78" s="80"/>
      <c r="J78" s="80"/>
      <c r="K78" s="80"/>
      <c r="L78" s="80"/>
      <c r="M78" s="80"/>
      <c r="N78" s="80"/>
      <c r="O78" s="80"/>
    </row>
    <row r="79" spans="1:15">
      <c r="A79" s="95" t="s">
        <v>355</v>
      </c>
      <c r="B79" s="113">
        <f>SUM(B65:B72)</f>
        <v>748.77</v>
      </c>
      <c r="C79" s="113">
        <f>SUM(C65:C72)</f>
        <v>333.12</v>
      </c>
      <c r="D79" s="113">
        <f>SUM(D65:D72)</f>
        <v>1081.8900000000001</v>
      </c>
      <c r="E79" s="105"/>
      <c r="F79" s="106"/>
      <c r="G79" s="114">
        <f>+B79/D79</f>
        <v>0.69209439037240372</v>
      </c>
      <c r="H79" s="114">
        <f>+C79/D79</f>
        <v>0.30790560962759611</v>
      </c>
      <c r="I79" s="80"/>
      <c r="J79" s="80"/>
      <c r="K79" s="80"/>
      <c r="L79" s="80"/>
      <c r="M79" s="80"/>
      <c r="N79" s="80"/>
      <c r="O79" s="80"/>
    </row>
    <row r="80" spans="1:15">
      <c r="A80" s="80"/>
      <c r="B80" s="80"/>
      <c r="C80" s="80"/>
      <c r="D80" s="80"/>
      <c r="E80" s="80"/>
      <c r="F80" s="80"/>
      <c r="G80" s="80"/>
      <c r="H80" s="80"/>
      <c r="I80" s="80"/>
      <c r="J80" s="80"/>
      <c r="K80" s="80"/>
      <c r="L80" s="80"/>
      <c r="M80" s="80"/>
      <c r="N80" s="80"/>
      <c r="O80" s="80"/>
    </row>
    <row r="81" spans="1:15">
      <c r="A81" s="80"/>
      <c r="B81" s="80"/>
      <c r="C81" s="80"/>
      <c r="D81" s="80"/>
      <c r="E81" s="80"/>
      <c r="F81" s="80"/>
      <c r="G81" s="80"/>
      <c r="H81" s="80"/>
      <c r="I81" s="80"/>
      <c r="J81" s="80"/>
      <c r="K81" s="80"/>
      <c r="L81" s="80"/>
      <c r="M81" s="80"/>
      <c r="N81" s="80"/>
      <c r="O81" s="80"/>
    </row>
    <row r="82" spans="1:15">
      <c r="A82" s="95" t="s">
        <v>362</v>
      </c>
      <c r="B82" s="95">
        <f>B9+G9</f>
        <v>569.49</v>
      </c>
      <c r="C82" s="98">
        <v>652.37</v>
      </c>
      <c r="D82" s="98" t="s">
        <v>363</v>
      </c>
      <c r="E82" s="115">
        <f>B82/B9</f>
        <v>1.3719344736208141</v>
      </c>
      <c r="F82" s="80"/>
      <c r="G82" s="80"/>
      <c r="H82" s="80"/>
      <c r="I82" s="80"/>
      <c r="J82" s="80"/>
      <c r="K82" s="80"/>
      <c r="L82" s="80"/>
      <c r="M82" s="80"/>
      <c r="N82" s="80"/>
      <c r="O82" s="80"/>
    </row>
    <row r="83" spans="1:15">
      <c r="A83" s="95" t="s">
        <v>364</v>
      </c>
      <c r="B83" s="95">
        <f>C9+H9</f>
        <v>600.24</v>
      </c>
      <c r="C83" s="98">
        <v>686.68</v>
      </c>
      <c r="D83" s="98" t="s">
        <v>365</v>
      </c>
      <c r="E83" s="116">
        <f>B83/C9</f>
        <v>1.2889261096437545</v>
      </c>
      <c r="F83" s="80"/>
      <c r="G83" s="80"/>
      <c r="H83" s="80"/>
      <c r="I83" s="80"/>
      <c r="J83" s="80"/>
      <c r="K83" s="80"/>
      <c r="L83" s="80"/>
      <c r="M83" s="80"/>
      <c r="N83" s="80"/>
      <c r="O83" s="80"/>
    </row>
  </sheetData>
  <mergeCells count="10">
    <mergeCell ref="B7:C7"/>
    <mergeCell ref="G7:H7"/>
    <mergeCell ref="K46:M46"/>
    <mergeCell ref="B2:C2"/>
    <mergeCell ref="H2:J2"/>
    <mergeCell ref="B3:C3"/>
    <mergeCell ref="H3:J3"/>
    <mergeCell ref="H4:J4"/>
    <mergeCell ref="B6:D6"/>
    <mergeCell ref="G6:I6"/>
  </mergeCells>
  <phoneticPr fontId="73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1"/>
  <sheetViews>
    <sheetView topLeftCell="A13" workbookViewId="0">
      <selection activeCell="D34" sqref="D34"/>
    </sheetView>
  </sheetViews>
  <sheetFormatPr baseColWidth="10" defaultRowHeight="15"/>
  <cols>
    <col min="3" max="3" width="17" customWidth="1"/>
    <col min="4" max="4" width="24.5703125" customWidth="1"/>
    <col min="5" max="5" width="19.85546875" customWidth="1"/>
    <col min="6" max="6" width="18.28515625" customWidth="1"/>
    <col min="7" max="7" width="18.140625" customWidth="1"/>
  </cols>
  <sheetData>
    <row r="1" spans="1:10" ht="18.75">
      <c r="A1" s="666" t="s">
        <v>366</v>
      </c>
      <c r="B1" s="666"/>
      <c r="C1" s="666"/>
      <c r="D1" s="666"/>
      <c r="E1" s="666"/>
      <c r="F1" s="118"/>
      <c r="G1" s="118"/>
    </row>
    <row r="2" spans="1:10" ht="18.75">
      <c r="A2" s="119"/>
      <c r="B2" s="119"/>
      <c r="C2" s="119"/>
      <c r="D2" s="119"/>
      <c r="E2" s="119"/>
      <c r="F2" s="118"/>
      <c r="G2" s="118"/>
    </row>
    <row r="3" spans="1:10" ht="15.75">
      <c r="A3" s="120"/>
      <c r="B3" s="120"/>
      <c r="C3" s="664" t="s">
        <v>367</v>
      </c>
      <c r="D3" s="667"/>
      <c r="E3" s="121"/>
      <c r="F3" s="122"/>
      <c r="G3" s="122"/>
    </row>
    <row r="4" spans="1:10">
      <c r="A4" s="122"/>
      <c r="B4" s="123"/>
      <c r="C4" s="123"/>
      <c r="D4" s="123"/>
      <c r="E4" s="123"/>
      <c r="F4" s="123"/>
      <c r="G4" s="122"/>
    </row>
    <row r="5" spans="1:10">
      <c r="A5" s="124" t="s">
        <v>368</v>
      </c>
      <c r="B5" s="125" t="s">
        <v>369</v>
      </c>
      <c r="C5" s="124" t="s">
        <v>370</v>
      </c>
      <c r="D5" s="125" t="s">
        <v>371</v>
      </c>
      <c r="E5" s="124" t="s">
        <v>372</v>
      </c>
      <c r="F5" s="124" t="s">
        <v>373</v>
      </c>
      <c r="G5" s="125" t="s">
        <v>374</v>
      </c>
      <c r="J5" s="75">
        <v>3.0000000000000001E-3</v>
      </c>
    </row>
    <row r="6" spans="1:10">
      <c r="A6" s="126">
        <v>1</v>
      </c>
      <c r="B6" s="126">
        <f>J5*100</f>
        <v>0.3</v>
      </c>
      <c r="C6" s="126">
        <f>B6</f>
        <v>0.3</v>
      </c>
      <c r="D6" s="126">
        <v>3.5</v>
      </c>
      <c r="E6" s="126">
        <f>C6*D6</f>
        <v>1.05</v>
      </c>
      <c r="F6" s="126">
        <v>4</v>
      </c>
      <c r="G6" s="127" t="str">
        <f>IF((E6&lt;=F6),"vérifié","non vérifié")</f>
        <v>vérifié</v>
      </c>
      <c r="J6" s="75">
        <v>9.1999999999999998E-3</v>
      </c>
    </row>
    <row r="7" spans="1:10">
      <c r="A7" s="126">
        <v>2</v>
      </c>
      <c r="B7" s="126">
        <f t="shared" ref="B7:B8" si="0">J6*100</f>
        <v>0.91999999999999993</v>
      </c>
      <c r="C7" s="126">
        <f>B7-B6</f>
        <v>0.61999999999999988</v>
      </c>
      <c r="D7" s="126">
        <v>3.5</v>
      </c>
      <c r="E7" s="126">
        <f>C7*D7</f>
        <v>2.1699999999999995</v>
      </c>
      <c r="F7" s="126">
        <v>4</v>
      </c>
      <c r="G7" s="127" t="str">
        <f>IF((E7&lt;=F7),"vérifié","non vérifié")</f>
        <v>vérifié</v>
      </c>
      <c r="J7" s="75">
        <v>1.5599999999999999E-2</v>
      </c>
    </row>
    <row r="8" spans="1:10">
      <c r="A8" s="126">
        <v>3</v>
      </c>
      <c r="B8" s="126">
        <f t="shared" si="0"/>
        <v>1.5599999999999998</v>
      </c>
      <c r="C8" s="126">
        <f t="shared" ref="C8" si="1">B8-B7</f>
        <v>0.6399999999999999</v>
      </c>
      <c r="D8" s="126">
        <v>3.5</v>
      </c>
      <c r="E8" s="126">
        <f>C8*D8</f>
        <v>2.2399999999999998</v>
      </c>
      <c r="F8" s="126">
        <v>4</v>
      </c>
      <c r="G8" s="127" t="str">
        <f>IF((E8&lt;=F8),"vérifié","non vérifié")</f>
        <v>vérifié</v>
      </c>
    </row>
    <row r="9" spans="1:10">
      <c r="A9" s="126">
        <v>4</v>
      </c>
      <c r="B9" s="126"/>
      <c r="C9" s="126"/>
      <c r="D9" s="126"/>
      <c r="E9" s="126"/>
      <c r="F9" s="126"/>
      <c r="G9" s="127"/>
    </row>
    <row r="10" spans="1:10">
      <c r="A10" s="126">
        <v>5</v>
      </c>
      <c r="B10" s="126"/>
      <c r="C10" s="126"/>
      <c r="D10" s="126"/>
      <c r="E10" s="126"/>
      <c r="F10" s="126"/>
      <c r="G10" s="127"/>
    </row>
    <row r="11" spans="1:10">
      <c r="A11" s="126">
        <v>6</v>
      </c>
      <c r="B11" s="126"/>
      <c r="C11" s="126"/>
      <c r="D11" s="126"/>
      <c r="E11" s="126"/>
      <c r="F11" s="126"/>
      <c r="G11" s="127"/>
    </row>
    <row r="12" spans="1:10">
      <c r="A12" s="126">
        <v>7</v>
      </c>
      <c r="B12" s="126"/>
      <c r="C12" s="126"/>
      <c r="D12" s="126"/>
      <c r="E12" s="126"/>
      <c r="F12" s="126"/>
      <c r="G12" s="127"/>
    </row>
    <row r="13" spans="1:10">
      <c r="A13" s="126">
        <v>8</v>
      </c>
      <c r="B13" s="126"/>
      <c r="C13" s="126"/>
      <c r="D13" s="126"/>
      <c r="E13" s="126"/>
      <c r="F13" s="126"/>
      <c r="G13" s="127"/>
    </row>
    <row r="14" spans="1:10">
      <c r="A14" s="126">
        <v>9</v>
      </c>
      <c r="B14" s="126"/>
      <c r="C14" s="128"/>
      <c r="D14" s="126"/>
      <c r="E14" s="126"/>
      <c r="F14" s="126"/>
      <c r="G14" s="127"/>
    </row>
    <row r="15" spans="1:10">
      <c r="A15" s="121"/>
      <c r="B15" s="121"/>
      <c r="C15" s="121"/>
      <c r="D15" s="121"/>
      <c r="E15" s="121"/>
      <c r="F15" s="121"/>
      <c r="G15" s="121"/>
    </row>
    <row r="16" spans="1:10" ht="15.75">
      <c r="A16" s="121"/>
      <c r="B16" s="121"/>
      <c r="C16" s="664" t="s">
        <v>375</v>
      </c>
      <c r="D16" s="665"/>
      <c r="E16" s="129"/>
      <c r="F16" s="121"/>
      <c r="G16" s="121"/>
    </row>
    <row r="17" spans="1:10">
      <c r="A17" s="122"/>
      <c r="B17" s="122"/>
      <c r="C17" s="123"/>
      <c r="D17" s="123"/>
      <c r="E17" s="123"/>
      <c r="F17" s="123"/>
      <c r="G17" s="123"/>
    </row>
    <row r="18" spans="1:10">
      <c r="A18" s="124" t="s">
        <v>368</v>
      </c>
      <c r="B18" s="125" t="s">
        <v>376</v>
      </c>
      <c r="C18" s="124" t="s">
        <v>377</v>
      </c>
      <c r="D18" s="124" t="s">
        <v>371</v>
      </c>
      <c r="E18" s="124" t="s">
        <v>378</v>
      </c>
      <c r="F18" s="124" t="s">
        <v>373</v>
      </c>
      <c r="G18" s="125" t="s">
        <v>379</v>
      </c>
      <c r="J18">
        <v>1.6000000000000001E-3</v>
      </c>
    </row>
    <row r="19" spans="1:10">
      <c r="A19" s="126">
        <v>1</v>
      </c>
      <c r="B19" s="126">
        <v>0.50800000000000001</v>
      </c>
      <c r="C19" s="126">
        <f>B19</f>
        <v>0.50800000000000001</v>
      </c>
      <c r="D19" s="126">
        <v>3.5</v>
      </c>
      <c r="E19" s="126">
        <f>C19*D19</f>
        <v>1.778</v>
      </c>
      <c r="F19" s="130">
        <v>4</v>
      </c>
      <c r="G19" s="127" t="str">
        <f>IF((E19&lt;=F19),"vérifié","non vérifié")</f>
        <v>vérifié</v>
      </c>
      <c r="J19">
        <v>5.0000000000000001E-3</v>
      </c>
    </row>
    <row r="20" spans="1:10">
      <c r="A20" s="126">
        <v>2</v>
      </c>
      <c r="B20" s="126">
        <v>1.2629999999999999</v>
      </c>
      <c r="C20" s="126">
        <f>B20-B19</f>
        <v>0.75499999999999989</v>
      </c>
      <c r="D20" s="126">
        <v>3.5</v>
      </c>
      <c r="E20" s="126">
        <f>C20*D20</f>
        <v>2.6424999999999996</v>
      </c>
      <c r="F20" s="130">
        <v>3.4</v>
      </c>
      <c r="G20" s="127" t="str">
        <f>IF((E20&lt;=F20),"vérifié","non vérifié")</f>
        <v>vérifié</v>
      </c>
      <c r="J20">
        <v>8.3000000000000001E-3</v>
      </c>
    </row>
    <row r="21" spans="1:10">
      <c r="A21" s="126">
        <v>3</v>
      </c>
      <c r="B21" s="126">
        <v>2.0960000000000001</v>
      </c>
      <c r="C21" s="126">
        <f t="shared" ref="C21" si="2">B21-B20</f>
        <v>0.83300000000000018</v>
      </c>
      <c r="D21" s="126">
        <v>3.5</v>
      </c>
      <c r="E21" s="126">
        <f>C21*D21</f>
        <v>2.9155000000000006</v>
      </c>
      <c r="F21" s="130">
        <v>3.74</v>
      </c>
      <c r="G21" s="127" t="str">
        <f>IF((E21&lt;=F21),"vérifié","non vérifié")</f>
        <v>vérifié</v>
      </c>
    </row>
    <row r="22" spans="1:10">
      <c r="A22" s="126">
        <v>4</v>
      </c>
      <c r="B22" s="126"/>
      <c r="C22" s="126"/>
      <c r="D22" s="126"/>
      <c r="E22" s="126"/>
      <c r="F22" s="130"/>
      <c r="G22" s="127"/>
    </row>
    <row r="23" spans="1:10">
      <c r="A23" s="126">
        <v>5</v>
      </c>
      <c r="B23" s="126"/>
      <c r="C23" s="126"/>
      <c r="D23" s="126"/>
      <c r="E23" s="126"/>
      <c r="F23" s="130"/>
      <c r="G23" s="127"/>
    </row>
    <row r="24" spans="1:10">
      <c r="A24" s="126">
        <v>6</v>
      </c>
      <c r="B24" s="126"/>
      <c r="C24" s="126"/>
      <c r="D24" s="126"/>
      <c r="E24" s="126"/>
      <c r="F24" s="130"/>
      <c r="G24" s="127"/>
    </row>
    <row r="25" spans="1:10">
      <c r="A25" s="126">
        <v>7</v>
      </c>
      <c r="B25" s="126"/>
      <c r="C25" s="126"/>
      <c r="D25" s="126"/>
      <c r="E25" s="126"/>
      <c r="F25" s="130"/>
      <c r="G25" s="127"/>
    </row>
    <row r="26" spans="1:10">
      <c r="A26" s="126">
        <v>8</v>
      </c>
      <c r="B26" s="126"/>
      <c r="C26" s="126"/>
      <c r="D26" s="126"/>
      <c r="E26" s="126"/>
      <c r="F26" s="130"/>
      <c r="G26" s="127"/>
    </row>
    <row r="27" spans="1:10">
      <c r="A27" s="126">
        <v>9</v>
      </c>
      <c r="B27" s="126"/>
      <c r="C27" s="128"/>
      <c r="D27" s="126"/>
      <c r="E27" s="126"/>
      <c r="F27" s="130"/>
      <c r="G27" s="127"/>
    </row>
    <row r="28" spans="1:10">
      <c r="A28" s="121"/>
      <c r="B28" s="121"/>
      <c r="C28" s="121"/>
      <c r="D28" s="121"/>
      <c r="E28" s="121"/>
      <c r="F28" s="121"/>
      <c r="G28" s="121"/>
    </row>
    <row r="29" spans="1:10" ht="18.75">
      <c r="A29" s="666" t="s">
        <v>380</v>
      </c>
      <c r="B29" s="666"/>
      <c r="C29" s="666"/>
      <c r="D29" s="666"/>
      <c r="E29" s="666"/>
      <c r="F29" s="121"/>
      <c r="G29" s="121"/>
    </row>
    <row r="30" spans="1:10">
      <c r="A30" s="120"/>
      <c r="B30" s="120"/>
      <c r="C30" s="120"/>
      <c r="D30" s="120"/>
      <c r="E30" s="120"/>
      <c r="F30" s="121"/>
      <c r="G30" s="121"/>
    </row>
    <row r="31" spans="1:10" ht="15.75">
      <c r="A31" s="121"/>
      <c r="B31" s="121"/>
      <c r="C31" s="664" t="s">
        <v>381</v>
      </c>
      <c r="D31" s="665"/>
      <c r="E31" s="121"/>
      <c r="F31" s="121"/>
      <c r="G31" s="121"/>
    </row>
    <row r="32" spans="1:10">
      <c r="A32" s="121"/>
      <c r="B32" s="121"/>
      <c r="C32" s="121"/>
      <c r="D32" s="121"/>
      <c r="E32" s="121"/>
      <c r="F32" s="121"/>
      <c r="G32" s="121"/>
    </row>
    <row r="33" spans="1:7">
      <c r="A33" s="131" t="s">
        <v>382</v>
      </c>
      <c r="B33" s="131" t="s">
        <v>383</v>
      </c>
      <c r="C33" s="131" t="s">
        <v>384</v>
      </c>
      <c r="D33" s="131" t="s">
        <v>385</v>
      </c>
      <c r="E33" s="131" t="s">
        <v>386</v>
      </c>
      <c r="F33" s="131" t="s">
        <v>387</v>
      </c>
      <c r="G33" s="131" t="s">
        <v>388</v>
      </c>
    </row>
    <row r="34" spans="1:7">
      <c r="A34" s="126">
        <v>1</v>
      </c>
      <c r="B34" s="132">
        <v>-3665.26</v>
      </c>
      <c r="C34" s="131">
        <f>C6</f>
        <v>0.3</v>
      </c>
      <c r="D34" s="131">
        <v>569.49</v>
      </c>
      <c r="E34" s="131">
        <v>3.06</v>
      </c>
      <c r="F34" s="131">
        <f>(-B34*C34/100)/(D34*E34)</f>
        <v>6.3098424149023603E-3</v>
      </c>
      <c r="G34" s="133" t="str">
        <f>IF(F34&lt;=0.1,"Vérifié","condition non vérifiée")</f>
        <v>Vérifié</v>
      </c>
    </row>
    <row r="35" spans="1:7">
      <c r="A35" s="126">
        <v>2</v>
      </c>
      <c r="B35" s="132">
        <v>-1856.95</v>
      </c>
      <c r="C35" s="131">
        <f>C7</f>
        <v>0.61999999999999988</v>
      </c>
      <c r="D35" s="131">
        <v>419.53</v>
      </c>
      <c r="E35" s="131">
        <v>3.06</v>
      </c>
      <c r="F35" s="131">
        <f>(-B35*C35/100)/(D35*E35)</f>
        <v>8.9682447320055779E-3</v>
      </c>
      <c r="G35" s="133" t="str">
        <f>IF(F35&lt;=0.1,"Vérifié","condition non vérifiée")</f>
        <v>Vérifié</v>
      </c>
    </row>
    <row r="36" spans="1:7">
      <c r="A36" s="126">
        <v>3</v>
      </c>
      <c r="B36" s="132">
        <v>-157.97999999999999</v>
      </c>
      <c r="C36" s="131">
        <f>C8</f>
        <v>0.6399999999999999</v>
      </c>
      <c r="D36" s="131">
        <v>45.02</v>
      </c>
      <c r="E36" s="131">
        <v>1.5</v>
      </c>
      <c r="F36" s="131">
        <f>(-B36*C36/100)/(D36*E36)</f>
        <v>1.4972190137716567E-2</v>
      </c>
      <c r="G36" s="133" t="str">
        <f>IF(F36&lt;=0.1,"Vérifié","condition non vérifiée")</f>
        <v>Vérifié</v>
      </c>
    </row>
    <row r="37" spans="1:7">
      <c r="A37" s="126">
        <v>4</v>
      </c>
      <c r="B37" s="132"/>
      <c r="C37" s="131"/>
      <c r="D37" s="131"/>
      <c r="E37" s="131"/>
      <c r="F37" s="131"/>
      <c r="G37" s="133"/>
    </row>
    <row r="38" spans="1:7">
      <c r="A38" s="126">
        <v>5</v>
      </c>
      <c r="B38" s="132"/>
      <c r="C38" s="131"/>
      <c r="D38" s="131"/>
      <c r="E38" s="131"/>
      <c r="F38" s="131"/>
      <c r="G38" s="133"/>
    </row>
    <row r="39" spans="1:7">
      <c r="A39" s="126">
        <v>6</v>
      </c>
      <c r="B39" s="132"/>
      <c r="C39" s="131"/>
      <c r="D39" s="131"/>
      <c r="E39" s="131"/>
      <c r="F39" s="131"/>
      <c r="G39" s="133"/>
    </row>
    <row r="40" spans="1:7">
      <c r="A40" s="126">
        <v>7</v>
      </c>
      <c r="B40" s="132"/>
      <c r="C40" s="131"/>
      <c r="D40" s="131"/>
      <c r="E40" s="131"/>
      <c r="F40" s="131"/>
      <c r="G40" s="133"/>
    </row>
    <row r="41" spans="1:7">
      <c r="A41" s="126">
        <v>8</v>
      </c>
      <c r="B41" s="132"/>
      <c r="C41" s="131"/>
      <c r="D41" s="131"/>
      <c r="E41" s="131"/>
      <c r="F41" s="131"/>
      <c r="G41" s="133"/>
    </row>
    <row r="42" spans="1:7">
      <c r="A42" s="126">
        <v>9</v>
      </c>
      <c r="B42" s="132"/>
      <c r="C42" s="131"/>
      <c r="D42" s="131"/>
      <c r="E42" s="131"/>
      <c r="F42" s="131"/>
      <c r="G42" s="133"/>
    </row>
    <row r="43" spans="1:7">
      <c r="A43" s="134"/>
      <c r="B43" s="134"/>
      <c r="C43" s="134"/>
      <c r="D43" s="134"/>
      <c r="E43" s="134"/>
      <c r="F43" s="134"/>
      <c r="G43" s="134"/>
    </row>
    <row r="44" spans="1:7" ht="15.75">
      <c r="A44" s="134"/>
      <c r="B44" s="134"/>
      <c r="C44" s="664" t="s">
        <v>375</v>
      </c>
      <c r="D44" s="665"/>
      <c r="E44" s="134"/>
      <c r="F44" s="134"/>
      <c r="G44" s="134"/>
    </row>
    <row r="45" spans="1:7">
      <c r="A45" s="134"/>
      <c r="B45" s="134"/>
      <c r="C45" s="134"/>
      <c r="D45" s="134"/>
      <c r="E45" s="134"/>
      <c r="F45" s="134"/>
      <c r="G45" s="134"/>
    </row>
    <row r="46" spans="1:7">
      <c r="A46" s="131" t="s">
        <v>382</v>
      </c>
      <c r="B46" s="131" t="s">
        <v>383</v>
      </c>
      <c r="C46" s="131" t="s">
        <v>389</v>
      </c>
      <c r="D46" s="131" t="s">
        <v>390</v>
      </c>
      <c r="E46" s="131" t="s">
        <v>386</v>
      </c>
      <c r="F46" s="131" t="s">
        <v>391</v>
      </c>
      <c r="G46" s="131" t="s">
        <v>392</v>
      </c>
    </row>
    <row r="47" spans="1:7">
      <c r="A47" s="126">
        <v>1</v>
      </c>
      <c r="B47" s="131">
        <v>-3665.26</v>
      </c>
      <c r="C47" s="131">
        <f>C19</f>
        <v>0.50800000000000001</v>
      </c>
      <c r="D47" s="131" t="s">
        <v>393</v>
      </c>
      <c r="E47" s="131">
        <v>3.06</v>
      </c>
      <c r="F47" s="131" t="e">
        <f>(-B47*C47/100)/(D47*E47)</f>
        <v>#VALUE!</v>
      </c>
      <c r="G47" s="133" t="e">
        <f>IF(F47&lt;=0.1,"Vérifié","condition non vérifiée")</f>
        <v>#VALUE!</v>
      </c>
    </row>
    <row r="48" spans="1:7">
      <c r="A48" s="126">
        <v>2</v>
      </c>
      <c r="B48" s="131">
        <v>-1856.95</v>
      </c>
      <c r="C48" s="131">
        <f>C20</f>
        <v>0.75499999999999989</v>
      </c>
      <c r="D48" s="131">
        <v>434.71</v>
      </c>
      <c r="E48" s="131">
        <v>3.06</v>
      </c>
      <c r="F48" s="131">
        <f>(-B48*C48/100)/(D48*E48)</f>
        <v>1.0539647948004702E-2</v>
      </c>
      <c r="G48" s="133" t="str">
        <f>IF(F48&lt;=0.1,"Vérifié","condition non vérifiée")</f>
        <v>Vérifié</v>
      </c>
    </row>
    <row r="49" spans="1:7">
      <c r="A49" s="126">
        <v>3</v>
      </c>
      <c r="B49" s="131">
        <v>-157.97999999999999</v>
      </c>
      <c r="C49" s="131">
        <f>C21</f>
        <v>0.83300000000000018</v>
      </c>
      <c r="D49" s="131">
        <v>46.94</v>
      </c>
      <c r="E49" s="131">
        <v>1.5</v>
      </c>
      <c r="F49" s="131">
        <f>(-B49*C49/100)/(D49*E49)</f>
        <v>1.8690149126544531E-2</v>
      </c>
      <c r="G49" s="133" t="str">
        <f>IF(F49&lt;=0.1,"Vérifié","condition non vérifiée")</f>
        <v>Vérifié</v>
      </c>
    </row>
    <row r="50" spans="1:7">
      <c r="A50" s="126">
        <v>4</v>
      </c>
      <c r="B50" s="131"/>
      <c r="C50" s="131"/>
      <c r="D50" s="131"/>
      <c r="E50" s="131"/>
      <c r="F50" s="131"/>
      <c r="G50" s="133"/>
    </row>
    <row r="51" spans="1:7">
      <c r="A51" s="126">
        <v>5</v>
      </c>
      <c r="B51" s="131"/>
      <c r="C51" s="131"/>
      <c r="D51" s="131"/>
      <c r="E51" s="131"/>
      <c r="F51" s="131"/>
      <c r="G51" s="133"/>
    </row>
    <row r="52" spans="1:7">
      <c r="A52" s="126">
        <v>6</v>
      </c>
      <c r="B52" s="131"/>
      <c r="C52" s="131"/>
      <c r="D52" s="131"/>
      <c r="E52" s="131"/>
      <c r="F52" s="131"/>
      <c r="G52" s="133"/>
    </row>
    <row r="53" spans="1:7">
      <c r="A53" s="126">
        <v>7</v>
      </c>
      <c r="B53" s="131"/>
      <c r="C53" s="131"/>
      <c r="D53" s="131"/>
      <c r="E53" s="131"/>
      <c r="F53" s="131"/>
      <c r="G53" s="133"/>
    </row>
    <row r="54" spans="1:7">
      <c r="A54" s="126">
        <v>8</v>
      </c>
      <c r="B54" s="131"/>
      <c r="C54" s="131"/>
      <c r="D54" s="131"/>
      <c r="E54" s="131"/>
      <c r="F54" s="131"/>
      <c r="G54" s="133"/>
    </row>
    <row r="55" spans="1:7">
      <c r="A55" s="126">
        <v>9</v>
      </c>
      <c r="B55" s="131"/>
      <c r="C55" s="131"/>
      <c r="D55" s="131"/>
      <c r="E55" s="131"/>
      <c r="F55" s="131"/>
      <c r="G55" s="133"/>
    </row>
    <row r="61" spans="1:7">
      <c r="G61" s="85"/>
    </row>
  </sheetData>
  <mergeCells count="6">
    <mergeCell ref="C44:D44"/>
    <mergeCell ref="A1:E1"/>
    <mergeCell ref="C3:D3"/>
    <mergeCell ref="C16:D16"/>
    <mergeCell ref="A29:E29"/>
    <mergeCell ref="C31:D3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2:P37"/>
  <sheetViews>
    <sheetView topLeftCell="A7" workbookViewId="0">
      <selection activeCell="C9" sqref="C9"/>
    </sheetView>
  </sheetViews>
  <sheetFormatPr baseColWidth="10" defaultRowHeight="15"/>
  <cols>
    <col min="7" max="7" width="13.42578125" customWidth="1"/>
    <col min="8" max="8" width="13" customWidth="1"/>
    <col min="9" max="9" width="24.5703125" customWidth="1"/>
  </cols>
  <sheetData>
    <row r="2" spans="1:16">
      <c r="I2" s="273">
        <v>495.02</v>
      </c>
      <c r="J2" s="273">
        <v>521.66999999999996</v>
      </c>
    </row>
    <row r="3" spans="1:16">
      <c r="A3" s="80"/>
      <c r="B3" s="80"/>
      <c r="C3" s="80"/>
      <c r="D3" s="80"/>
      <c r="E3" s="80"/>
      <c r="F3" s="80"/>
      <c r="G3" s="80"/>
      <c r="H3" s="80"/>
      <c r="I3" s="273">
        <v>836.79</v>
      </c>
      <c r="J3" s="273">
        <v>901.49</v>
      </c>
      <c r="K3" s="80"/>
      <c r="L3" s="80"/>
      <c r="M3" s="80"/>
      <c r="N3" s="80"/>
      <c r="O3" s="80"/>
      <c r="P3" s="80"/>
    </row>
    <row r="4" spans="1:16" ht="18.75">
      <c r="A4" s="666" t="s">
        <v>394</v>
      </c>
      <c r="B4" s="666"/>
      <c r="C4" s="666"/>
      <c r="D4" s="666"/>
      <c r="E4" s="666"/>
      <c r="F4" s="80"/>
      <c r="G4" s="80"/>
      <c r="H4" s="80"/>
      <c r="I4" s="273">
        <v>1037.48</v>
      </c>
      <c r="J4" s="273">
        <v>1124.57</v>
      </c>
      <c r="K4" s="80"/>
      <c r="L4" s="80"/>
      <c r="M4" s="80"/>
      <c r="N4" s="80"/>
      <c r="O4" s="80"/>
      <c r="P4" s="80"/>
    </row>
    <row r="5" spans="1:16">
      <c r="A5" s="80"/>
      <c r="B5" s="80"/>
      <c r="C5" s="80"/>
      <c r="D5" s="80"/>
      <c r="E5" s="80"/>
      <c r="F5" s="80"/>
      <c r="G5" s="80"/>
      <c r="H5" s="80"/>
      <c r="I5" s="273">
        <v>1139.6300000000001</v>
      </c>
      <c r="J5" s="273">
        <v>1233.3699999999999</v>
      </c>
      <c r="K5" s="80"/>
      <c r="L5" s="80"/>
      <c r="M5" s="80"/>
      <c r="N5" s="80"/>
      <c r="O5" s="80"/>
      <c r="P5" s="80"/>
    </row>
    <row r="6" spans="1:16" ht="18.75">
      <c r="A6" s="135"/>
      <c r="B6" s="135"/>
      <c r="C6" s="135"/>
      <c r="D6" s="671" t="s">
        <v>395</v>
      </c>
      <c r="E6" s="672"/>
      <c r="F6" s="135"/>
      <c r="G6" s="135"/>
      <c r="H6" s="135"/>
      <c r="I6" s="135"/>
      <c r="J6" s="135"/>
      <c r="K6" s="135"/>
      <c r="L6" s="135"/>
      <c r="M6" s="135"/>
      <c r="N6" s="135"/>
      <c r="O6" s="135"/>
      <c r="P6" s="135"/>
    </row>
    <row r="7" spans="1:16" ht="18.75">
      <c r="A7" s="135"/>
      <c r="B7" s="135"/>
      <c r="C7" s="135"/>
      <c r="D7" s="135"/>
      <c r="E7" s="135"/>
      <c r="F7" s="135"/>
      <c r="G7" s="135"/>
      <c r="H7" s="135"/>
      <c r="I7" s="135"/>
      <c r="J7" s="135"/>
      <c r="K7" s="136"/>
      <c r="L7" s="137"/>
      <c r="M7" s="137"/>
      <c r="N7" s="137"/>
      <c r="O7" s="138"/>
      <c r="P7" s="139"/>
    </row>
    <row r="8" spans="1:16" ht="18.75">
      <c r="A8" s="140" t="s">
        <v>396</v>
      </c>
      <c r="B8" s="140" t="s">
        <v>397</v>
      </c>
      <c r="C8" s="140" t="s">
        <v>398</v>
      </c>
      <c r="D8" s="140" t="s">
        <v>399</v>
      </c>
      <c r="E8" s="140" t="s">
        <v>400</v>
      </c>
      <c r="F8" s="140" t="s">
        <v>401</v>
      </c>
      <c r="G8" s="140" t="s">
        <v>402</v>
      </c>
      <c r="H8" s="140" t="s">
        <v>403</v>
      </c>
      <c r="I8" s="140" t="s">
        <v>404</v>
      </c>
      <c r="J8" s="135"/>
      <c r="K8" s="141"/>
      <c r="L8" s="142"/>
      <c r="M8" s="142"/>
      <c r="N8" s="142"/>
      <c r="O8" s="143"/>
      <c r="P8" s="144"/>
    </row>
    <row r="9" spans="1:16" ht="18.75">
      <c r="A9" s="140">
        <v>1</v>
      </c>
      <c r="B9" s="140">
        <f>'Note de Calcul'!E346</f>
        <v>366.66</v>
      </c>
      <c r="C9" s="145">
        <f>B9-C10-C11-C12-C13-C14-C15-C16-C17-C18-C19-C20</f>
        <v>56.60000000000003</v>
      </c>
      <c r="D9" s="140">
        <f>3+1.5</f>
        <v>4.5</v>
      </c>
      <c r="E9" s="668">
        <f>'Note de Calcul'!$F$285</f>
        <v>4000.71</v>
      </c>
      <c r="F9" s="668">
        <f>'Note de Calcul'!B231/2</f>
        <v>4.5250000000000004</v>
      </c>
      <c r="G9" s="140">
        <f>C9*D9</f>
        <v>254.70000000000013</v>
      </c>
      <c r="H9" s="668">
        <f>E9*F9</f>
        <v>18103.212750000002</v>
      </c>
      <c r="I9" s="146" t="str">
        <f>IF(($H9/G9)&lt;1.5,"Condition non vérifiée","OK")</f>
        <v>OK</v>
      </c>
      <c r="J9" s="135"/>
      <c r="K9" s="141"/>
      <c r="L9" s="142"/>
      <c r="M9" s="142"/>
      <c r="N9" s="142"/>
      <c r="O9" s="143"/>
      <c r="P9" s="144"/>
    </row>
    <row r="10" spans="1:16" ht="18.75">
      <c r="A10" s="140">
        <v>2</v>
      </c>
      <c r="B10" s="140">
        <f>'Note de Calcul'!E347</f>
        <v>310.06</v>
      </c>
      <c r="C10" s="145">
        <f>B10-C11-C12-C13-C14-C15-C16-C17-C18-C19-C20</f>
        <v>111.61000000000001</v>
      </c>
      <c r="D10" s="140">
        <f>3+D9</f>
        <v>7.5</v>
      </c>
      <c r="E10" s="669"/>
      <c r="F10" s="669"/>
      <c r="G10" s="140">
        <f t="shared" ref="G10:G20" si="0">C10*D10</f>
        <v>837.07500000000005</v>
      </c>
      <c r="H10" s="669"/>
      <c r="I10" s="146" t="str">
        <f>IF(($H9/G10)&lt;1.5,"Condition non vérifiée","OK")</f>
        <v>OK</v>
      </c>
      <c r="J10" s="135"/>
      <c r="K10" s="141"/>
      <c r="L10" s="142"/>
      <c r="M10" s="142"/>
      <c r="N10" s="142"/>
      <c r="O10" s="143"/>
      <c r="P10" s="144"/>
    </row>
    <row r="11" spans="1:16" ht="18.75">
      <c r="A11" s="140">
        <v>3</v>
      </c>
      <c r="B11" s="140">
        <f>'Note de Calcul'!E348</f>
        <v>198.45</v>
      </c>
      <c r="C11" s="145">
        <f>B11-C12--C13-C14-C15-C16-C17-C18-C19-C20</f>
        <v>151.79999999999998</v>
      </c>
      <c r="D11" s="140">
        <f>3+D10</f>
        <v>10.5</v>
      </c>
      <c r="E11" s="669"/>
      <c r="F11" s="669"/>
      <c r="G11" s="140">
        <f t="shared" si="0"/>
        <v>1593.8999999999999</v>
      </c>
      <c r="H11" s="669"/>
      <c r="I11" s="146" t="str">
        <f>IF(($H9/G11)&lt;1.5,"Condition non vérifiée","OK")</f>
        <v>OK</v>
      </c>
      <c r="J11" s="135"/>
      <c r="K11" s="141"/>
      <c r="L11" s="142"/>
      <c r="M11" s="142"/>
      <c r="N11" s="142"/>
      <c r="O11" s="143"/>
      <c r="P11" s="144"/>
    </row>
    <row r="12" spans="1:16" ht="18.75">
      <c r="A12" s="140">
        <v>4</v>
      </c>
      <c r="B12" s="140">
        <f>'Note de Calcul'!E349</f>
        <v>46.65</v>
      </c>
      <c r="C12" s="145">
        <f>B12-C13-C14-C15-C16-C17-C18-C19-C20-C21</f>
        <v>46.65</v>
      </c>
      <c r="D12" s="140">
        <f>3+D11</f>
        <v>13.5</v>
      </c>
      <c r="E12" s="669"/>
      <c r="F12" s="669"/>
      <c r="G12" s="140">
        <f t="shared" si="0"/>
        <v>629.77499999999998</v>
      </c>
      <c r="H12" s="669"/>
      <c r="I12" s="146" t="str">
        <f>IF(($H9/G12)&lt;1.5,"Condition non vérifiée","OK")</f>
        <v>OK</v>
      </c>
      <c r="J12" s="135"/>
      <c r="K12" s="141"/>
      <c r="L12" s="142"/>
      <c r="M12" s="142"/>
      <c r="N12" s="142"/>
      <c r="O12" s="143"/>
      <c r="P12" s="144"/>
    </row>
    <row r="13" spans="1:16" ht="18.75">
      <c r="A13" s="140"/>
      <c r="B13" s="140"/>
      <c r="C13" s="145"/>
      <c r="D13" s="140"/>
      <c r="E13" s="669"/>
      <c r="F13" s="669"/>
      <c r="G13" s="140">
        <f t="shared" si="0"/>
        <v>0</v>
      </c>
      <c r="H13" s="669"/>
      <c r="I13" s="146" t="e">
        <f>IF(($H9/G13)&lt;1.5,"Condition non vérifiée","OK")</f>
        <v>#DIV/0!</v>
      </c>
      <c r="J13" s="135"/>
      <c r="K13" s="141"/>
      <c r="L13" s="142"/>
      <c r="M13" s="142"/>
      <c r="N13" s="142"/>
      <c r="O13" s="143"/>
      <c r="P13" s="144"/>
    </row>
    <row r="14" spans="1:16" ht="18.75">
      <c r="A14" s="140"/>
      <c r="B14" s="140"/>
      <c r="C14" s="145"/>
      <c r="D14" s="140"/>
      <c r="E14" s="669"/>
      <c r="F14" s="669"/>
      <c r="G14" s="140">
        <f t="shared" si="0"/>
        <v>0</v>
      </c>
      <c r="H14" s="669"/>
      <c r="I14" s="146" t="e">
        <f>IF(($H9/G14)&lt;1.5,"Condition non vérifiée","OK")</f>
        <v>#DIV/0!</v>
      </c>
      <c r="J14" s="135"/>
      <c r="K14" s="141"/>
      <c r="L14" s="142"/>
      <c r="M14" s="142"/>
      <c r="N14" s="142"/>
      <c r="O14" s="143"/>
      <c r="P14" s="144"/>
    </row>
    <row r="15" spans="1:16" ht="18.75">
      <c r="A15" s="140"/>
      <c r="B15" s="147"/>
      <c r="C15" s="145"/>
      <c r="D15" s="140"/>
      <c r="E15" s="669"/>
      <c r="F15" s="669"/>
      <c r="G15" s="140">
        <f t="shared" si="0"/>
        <v>0</v>
      </c>
      <c r="H15" s="669"/>
      <c r="I15" s="146" t="e">
        <f>IF(($H9/G15)&lt;1.5,"Condition non vérifiée","OK")</f>
        <v>#DIV/0!</v>
      </c>
      <c r="J15" s="135"/>
      <c r="K15" s="141"/>
      <c r="L15" s="142"/>
      <c r="M15" s="142"/>
      <c r="N15" s="142"/>
      <c r="O15" s="143"/>
      <c r="P15" s="144"/>
    </row>
    <row r="16" spans="1:16" s="75" customFormat="1" ht="18.75">
      <c r="A16" s="140"/>
      <c r="B16" s="147"/>
      <c r="C16" s="145"/>
      <c r="D16" s="140"/>
      <c r="E16" s="669"/>
      <c r="F16" s="669"/>
      <c r="G16" s="140">
        <f t="shared" si="0"/>
        <v>0</v>
      </c>
      <c r="H16" s="669"/>
      <c r="I16" s="146" t="e">
        <f>IF(($H9/G16)&lt;1.5,"Condition non vérifiée","OK")</f>
        <v>#DIV/0!</v>
      </c>
      <c r="J16" s="135"/>
      <c r="K16" s="141"/>
      <c r="L16" s="142"/>
      <c r="M16" s="142"/>
      <c r="N16" s="142"/>
      <c r="O16" s="143"/>
      <c r="P16" s="144"/>
    </row>
    <row r="17" spans="1:16" s="75" customFormat="1" ht="18.75">
      <c r="A17" s="140"/>
      <c r="B17" s="147"/>
      <c r="C17" s="145"/>
      <c r="D17" s="140"/>
      <c r="E17" s="669"/>
      <c r="F17" s="669"/>
      <c r="G17" s="140">
        <f t="shared" si="0"/>
        <v>0</v>
      </c>
      <c r="H17" s="669"/>
      <c r="I17" s="146" t="e">
        <f>IF(($H9/G17)&lt;1.5,"Condition non vérifiée","OK")</f>
        <v>#DIV/0!</v>
      </c>
      <c r="J17" s="135"/>
      <c r="K17" s="141"/>
      <c r="L17" s="142"/>
      <c r="M17" s="142"/>
      <c r="N17" s="142"/>
      <c r="O17" s="143"/>
      <c r="P17" s="144"/>
    </row>
    <row r="18" spans="1:16" s="75" customFormat="1" ht="18.75">
      <c r="A18" s="140"/>
      <c r="B18" s="147"/>
      <c r="C18" s="145"/>
      <c r="D18" s="140"/>
      <c r="E18" s="669"/>
      <c r="F18" s="669"/>
      <c r="G18" s="140">
        <f t="shared" si="0"/>
        <v>0</v>
      </c>
      <c r="H18" s="669"/>
      <c r="I18" s="146" t="e">
        <f>IF(($H9/G18)&lt;1.5,"Condition non vérifiée","OK")</f>
        <v>#DIV/0!</v>
      </c>
      <c r="J18" s="135"/>
      <c r="K18" s="141"/>
      <c r="L18" s="142"/>
      <c r="M18" s="142"/>
      <c r="N18" s="142"/>
      <c r="O18" s="143"/>
      <c r="P18" s="144"/>
    </row>
    <row r="19" spans="1:16" s="75" customFormat="1" ht="18.75">
      <c r="A19" s="140"/>
      <c r="B19" s="147"/>
      <c r="C19" s="145"/>
      <c r="D19" s="140"/>
      <c r="E19" s="669"/>
      <c r="F19" s="669"/>
      <c r="G19" s="140">
        <f t="shared" si="0"/>
        <v>0</v>
      </c>
      <c r="H19" s="669"/>
      <c r="I19" s="146" t="e">
        <f>IF(($H9/G19)&lt;1.5,"Condition non vérifiée","OK")</f>
        <v>#DIV/0!</v>
      </c>
      <c r="J19" s="135"/>
      <c r="K19" s="141"/>
      <c r="L19" s="142"/>
      <c r="M19" s="142"/>
      <c r="N19" s="142"/>
      <c r="O19" s="143"/>
      <c r="P19" s="144"/>
    </row>
    <row r="20" spans="1:16" s="75" customFormat="1" ht="18.75">
      <c r="A20" s="140"/>
      <c r="B20" s="147"/>
      <c r="C20" s="145"/>
      <c r="D20" s="140"/>
      <c r="E20" s="670"/>
      <c r="F20" s="670"/>
      <c r="G20" s="140">
        <f t="shared" si="0"/>
        <v>0</v>
      </c>
      <c r="H20" s="670"/>
      <c r="I20" s="146" t="e">
        <f>IF(($H9/G20)&lt;1.5,"Condition non vérifiée","OK")</f>
        <v>#DIV/0!</v>
      </c>
      <c r="J20" s="135"/>
      <c r="K20" s="141"/>
      <c r="L20" s="142"/>
      <c r="M20" s="142"/>
      <c r="N20" s="142"/>
      <c r="O20" s="143"/>
      <c r="P20" s="144"/>
    </row>
    <row r="21" spans="1:16" s="75" customFormat="1" ht="18.75">
      <c r="A21" s="463"/>
      <c r="B21" s="464"/>
      <c r="C21" s="464"/>
      <c r="D21" s="463"/>
      <c r="E21" s="463"/>
      <c r="F21" s="463"/>
      <c r="G21" s="463"/>
      <c r="H21" s="463"/>
      <c r="I21" s="465"/>
      <c r="J21" s="135"/>
      <c r="K21" s="141"/>
      <c r="L21" s="142"/>
      <c r="M21" s="142"/>
      <c r="N21" s="142"/>
      <c r="O21" s="143"/>
      <c r="P21" s="144"/>
    </row>
    <row r="22" spans="1:16" ht="18.75">
      <c r="A22" s="148"/>
      <c r="B22" s="148"/>
      <c r="C22" s="148"/>
      <c r="D22" s="148"/>
      <c r="E22" s="148"/>
      <c r="F22" s="148"/>
      <c r="G22" s="148"/>
      <c r="H22" s="148"/>
      <c r="I22" s="148"/>
      <c r="J22" s="135"/>
      <c r="K22" s="141"/>
      <c r="L22" s="142"/>
      <c r="M22" s="142"/>
      <c r="N22" s="142"/>
      <c r="O22" s="143"/>
      <c r="P22" s="144"/>
    </row>
    <row r="23" spans="1:16" ht="18.75">
      <c r="A23" s="148"/>
      <c r="B23" s="148"/>
      <c r="C23" s="148"/>
      <c r="D23" s="671" t="s">
        <v>405</v>
      </c>
      <c r="E23" s="672"/>
      <c r="F23" s="148"/>
      <c r="G23" s="148"/>
      <c r="H23" s="148"/>
      <c r="I23" s="148"/>
      <c r="J23" s="135"/>
      <c r="K23" s="141"/>
      <c r="L23" s="142"/>
      <c r="M23" s="142"/>
      <c r="N23" s="142"/>
      <c r="O23" s="143"/>
      <c r="P23" s="144"/>
    </row>
    <row r="24" spans="1:16" ht="18.75">
      <c r="A24" s="148"/>
      <c r="B24" s="148"/>
      <c r="C24" s="148"/>
      <c r="D24" s="148"/>
      <c r="E24" s="148"/>
      <c r="F24" s="148"/>
      <c r="G24" s="148"/>
      <c r="H24" s="148"/>
      <c r="I24" s="148"/>
      <c r="J24" s="135"/>
      <c r="K24" s="141"/>
      <c r="L24" s="142"/>
      <c r="M24" s="142"/>
      <c r="N24" s="142"/>
      <c r="O24" s="143"/>
      <c r="P24" s="144"/>
    </row>
    <row r="25" spans="1:16" ht="18.75">
      <c r="A25" s="140" t="s">
        <v>396</v>
      </c>
      <c r="B25" s="140" t="s">
        <v>406</v>
      </c>
      <c r="C25" s="140" t="s">
        <v>407</v>
      </c>
      <c r="D25" s="140" t="s">
        <v>399</v>
      </c>
      <c r="E25" s="140" t="s">
        <v>400</v>
      </c>
      <c r="F25" s="140" t="s">
        <v>408</v>
      </c>
      <c r="G25" s="140" t="s">
        <v>402</v>
      </c>
      <c r="H25" s="140" t="s">
        <v>403</v>
      </c>
      <c r="I25" s="140" t="s">
        <v>404</v>
      </c>
      <c r="J25" s="135"/>
      <c r="K25" s="141"/>
      <c r="L25" s="142"/>
      <c r="M25" s="142"/>
      <c r="N25" s="142"/>
      <c r="O25" s="143"/>
      <c r="P25" s="144"/>
    </row>
    <row r="26" spans="1:16" ht="18.75">
      <c r="A26" s="140">
        <v>1</v>
      </c>
      <c r="B26" s="140">
        <f>'Note de Calcul'!E354</f>
        <v>383.02</v>
      </c>
      <c r="C26" s="145">
        <f>B26-C27-C28-C29-C30-C31-C32-C33-C34-C35-C36-C37</f>
        <v>54.609999999999964</v>
      </c>
      <c r="D26" s="140">
        <f>+D9</f>
        <v>4.5</v>
      </c>
      <c r="E26" s="668">
        <f>'Note de Calcul'!$F$285</f>
        <v>4000.71</v>
      </c>
      <c r="F26" s="668">
        <f>'Note de Calcul'!B232/2</f>
        <v>8.3149999999999995</v>
      </c>
      <c r="G26" s="140">
        <f>C26*D26</f>
        <v>245.74499999999983</v>
      </c>
      <c r="H26" s="668">
        <f>E26*F26</f>
        <v>33265.90365</v>
      </c>
      <c r="I26" s="146" t="str">
        <f>IF(($H26/G26)&lt;1.5,"Condition non vérifiée","OK")</f>
        <v>OK</v>
      </c>
      <c r="J26" s="135"/>
      <c r="K26" s="141"/>
      <c r="L26" s="142"/>
      <c r="M26" s="142"/>
      <c r="N26" s="142"/>
      <c r="O26" s="143"/>
      <c r="P26" s="144"/>
    </row>
    <row r="27" spans="1:16" ht="18.75">
      <c r="A27" s="140">
        <v>2</v>
      </c>
      <c r="B27" s="140">
        <f>'Note de Calcul'!E355</f>
        <v>328.41</v>
      </c>
      <c r="C27" s="145">
        <f>B27-C28-C29-C30-C31-C32-C33-C34-C35-C36-C37</f>
        <v>121.48000000000002</v>
      </c>
      <c r="D27" s="140">
        <f>+D10</f>
        <v>7.5</v>
      </c>
      <c r="E27" s="669"/>
      <c r="F27" s="669"/>
      <c r="G27" s="140">
        <f t="shared" ref="G27:G37" si="1">C27*D27</f>
        <v>911.10000000000014</v>
      </c>
      <c r="H27" s="669"/>
      <c r="I27" s="146" t="str">
        <f>IF(($H26/G27)&lt;1.5,"Condition non vérifiée","OK")</f>
        <v>OK</v>
      </c>
      <c r="J27" s="135"/>
      <c r="K27" s="149"/>
      <c r="L27" s="150"/>
      <c r="M27" s="150"/>
      <c r="N27" s="150"/>
      <c r="O27" s="151"/>
      <c r="P27" s="152"/>
    </row>
    <row r="28" spans="1:16" ht="15.75">
      <c r="A28" s="140">
        <v>3</v>
      </c>
      <c r="B28" s="140">
        <f>'Note de Calcul'!E356</f>
        <v>206.93</v>
      </c>
      <c r="C28" s="145">
        <f>B28-C29-C30-C31-C32-C33-C34-C35-C36-C37</f>
        <v>156.16</v>
      </c>
      <c r="D28" s="140">
        <f>+D11</f>
        <v>10.5</v>
      </c>
      <c r="E28" s="669"/>
      <c r="F28" s="669"/>
      <c r="G28" s="140">
        <f t="shared" si="1"/>
        <v>1639.68</v>
      </c>
      <c r="H28" s="669"/>
      <c r="I28" s="146" t="str">
        <f>IF(($H26/G28)&lt;1.5,"Condition non vérifiée","OK")</f>
        <v>OK</v>
      </c>
      <c r="J28" s="135"/>
      <c r="K28" s="135"/>
      <c r="L28" s="135"/>
      <c r="M28" s="135"/>
      <c r="N28" s="135"/>
      <c r="O28" s="135"/>
      <c r="P28" s="135"/>
    </row>
    <row r="29" spans="1:16" ht="15.75">
      <c r="A29" s="140"/>
      <c r="B29" s="140">
        <f>'Note de Calcul'!E357</f>
        <v>50.77</v>
      </c>
      <c r="C29" s="145">
        <f>B29-C30-C31-C32-C33-C34-C35-C36-C37-C38</f>
        <v>50.77</v>
      </c>
      <c r="D29" s="140">
        <f>+D12</f>
        <v>13.5</v>
      </c>
      <c r="E29" s="669"/>
      <c r="F29" s="669"/>
      <c r="G29" s="140">
        <f t="shared" si="1"/>
        <v>685.3950000000001</v>
      </c>
      <c r="H29" s="669"/>
      <c r="I29" s="146" t="str">
        <f>IF(($H26/G29)&lt;1.5,"Condition non vérifiée","OK")</f>
        <v>OK</v>
      </c>
      <c r="J29" s="135"/>
      <c r="K29" s="135"/>
      <c r="L29" s="135"/>
      <c r="M29" s="135"/>
      <c r="N29" s="135"/>
      <c r="O29" s="135"/>
      <c r="P29" s="135"/>
    </row>
    <row r="30" spans="1:16" ht="15.75">
      <c r="A30" s="140"/>
      <c r="B30" s="140"/>
      <c r="C30" s="145"/>
      <c r="D30" s="140"/>
      <c r="E30" s="669"/>
      <c r="F30" s="669"/>
      <c r="G30" s="140">
        <f t="shared" si="1"/>
        <v>0</v>
      </c>
      <c r="H30" s="669"/>
      <c r="I30" s="146" t="e">
        <f>IF(($H26/G30)&lt;1.5,"Condition non vérifiée","OK")</f>
        <v>#DIV/0!</v>
      </c>
      <c r="J30" s="135"/>
      <c r="K30" s="135"/>
      <c r="L30" s="135"/>
      <c r="M30" s="135"/>
      <c r="N30" s="135"/>
      <c r="O30" s="135"/>
      <c r="P30" s="135"/>
    </row>
    <row r="31" spans="1:16" ht="15.75">
      <c r="A31" s="140"/>
      <c r="B31" s="140"/>
      <c r="C31" s="145"/>
      <c r="D31" s="140"/>
      <c r="E31" s="669"/>
      <c r="F31" s="669"/>
      <c r="G31" s="140">
        <f t="shared" si="1"/>
        <v>0</v>
      </c>
      <c r="H31" s="669"/>
      <c r="I31" s="146" t="e">
        <f>IF(($H26/G31)&lt;1.5,"Condition non vérifiée","OK")</f>
        <v>#DIV/0!</v>
      </c>
      <c r="J31" s="135"/>
      <c r="K31" s="135"/>
      <c r="L31" s="135"/>
      <c r="M31" s="135"/>
      <c r="N31" s="135"/>
      <c r="O31" s="135"/>
      <c r="P31" s="135"/>
    </row>
    <row r="32" spans="1:16" ht="15.75">
      <c r="A32" s="140"/>
      <c r="B32" s="147"/>
      <c r="C32" s="145"/>
      <c r="D32" s="140"/>
      <c r="E32" s="669"/>
      <c r="F32" s="669"/>
      <c r="G32" s="140">
        <f t="shared" si="1"/>
        <v>0</v>
      </c>
      <c r="H32" s="669"/>
      <c r="I32" s="146" t="e">
        <f>IF(($H26/G32)&lt;1.5,"Condition non vérifiée","OK")</f>
        <v>#DIV/0!</v>
      </c>
      <c r="J32" s="135"/>
      <c r="K32" s="135"/>
      <c r="L32" s="135"/>
      <c r="M32" s="135"/>
      <c r="N32" s="135"/>
      <c r="O32" s="135"/>
      <c r="P32" s="135"/>
    </row>
    <row r="33" spans="1:16" ht="15.75">
      <c r="A33" s="140"/>
      <c r="B33" s="147"/>
      <c r="C33" s="145"/>
      <c r="D33" s="140"/>
      <c r="E33" s="669"/>
      <c r="F33" s="669"/>
      <c r="G33" s="140">
        <f t="shared" si="1"/>
        <v>0</v>
      </c>
      <c r="H33" s="669"/>
      <c r="I33" s="146" t="e">
        <f>IF(($H26/G33)&lt;1.5,"Condition non vérifiée","OK")</f>
        <v>#DIV/0!</v>
      </c>
      <c r="J33" s="80"/>
      <c r="K33" s="80"/>
      <c r="L33" s="80"/>
      <c r="M33" s="80"/>
      <c r="N33" s="80"/>
      <c r="O33" s="80"/>
      <c r="P33" s="80"/>
    </row>
    <row r="34" spans="1:16" ht="15.75">
      <c r="A34" s="140"/>
      <c r="B34" s="147"/>
      <c r="C34" s="145"/>
      <c r="D34" s="140"/>
      <c r="E34" s="669"/>
      <c r="F34" s="669"/>
      <c r="G34" s="140">
        <f t="shared" si="1"/>
        <v>0</v>
      </c>
      <c r="H34" s="669"/>
      <c r="I34" s="146" t="e">
        <f>IF(($H26/G34)&lt;1.5,"Condition non vérifiée","OK")</f>
        <v>#DIV/0!</v>
      </c>
    </row>
    <row r="35" spans="1:16" ht="15.75">
      <c r="A35" s="140"/>
      <c r="B35" s="147"/>
      <c r="C35" s="145"/>
      <c r="D35" s="140"/>
      <c r="E35" s="669"/>
      <c r="F35" s="669"/>
      <c r="G35" s="140">
        <f t="shared" si="1"/>
        <v>0</v>
      </c>
      <c r="H35" s="669"/>
      <c r="I35" s="146" t="e">
        <f>IF(($H26/G35)&lt;1.5,"Condition non vérifiée","OK")</f>
        <v>#DIV/0!</v>
      </c>
    </row>
    <row r="36" spans="1:16" ht="15.75">
      <c r="A36" s="140"/>
      <c r="B36" s="147"/>
      <c r="C36" s="145"/>
      <c r="D36" s="140"/>
      <c r="E36" s="669"/>
      <c r="F36" s="669"/>
      <c r="G36" s="140">
        <f t="shared" si="1"/>
        <v>0</v>
      </c>
      <c r="H36" s="669"/>
      <c r="I36" s="146" t="e">
        <f>IF(($H26/G36)&lt;1.5,"Condition non vérifiée","OK")</f>
        <v>#DIV/0!</v>
      </c>
    </row>
    <row r="37" spans="1:16" ht="15.75">
      <c r="A37" s="140"/>
      <c r="B37" s="147"/>
      <c r="C37" s="145"/>
      <c r="D37" s="140"/>
      <c r="E37" s="670"/>
      <c r="F37" s="670"/>
      <c r="G37" s="140">
        <f t="shared" si="1"/>
        <v>0</v>
      </c>
      <c r="H37" s="670"/>
      <c r="I37" s="146" t="e">
        <f>IF(($H26/G37)&lt;1.5,"Condition non vérifiée","OK")</f>
        <v>#DIV/0!</v>
      </c>
    </row>
  </sheetData>
  <mergeCells count="9">
    <mergeCell ref="H9:H20"/>
    <mergeCell ref="E26:E37"/>
    <mergeCell ref="F26:F37"/>
    <mergeCell ref="H26:H37"/>
    <mergeCell ref="A4:E4"/>
    <mergeCell ref="D6:E6"/>
    <mergeCell ref="D23:E23"/>
    <mergeCell ref="F9:F20"/>
    <mergeCell ref="E9:E2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226"/>
  <sheetViews>
    <sheetView topLeftCell="A172" workbookViewId="0">
      <selection activeCell="I109" sqref="I109"/>
    </sheetView>
  </sheetViews>
  <sheetFormatPr baseColWidth="10" defaultRowHeight="15"/>
  <cols>
    <col min="1" max="1" width="15.140625" customWidth="1"/>
    <col min="2" max="2" width="18.28515625" customWidth="1"/>
    <col min="3" max="3" width="16.140625" customWidth="1"/>
    <col min="4" max="4" width="18" customWidth="1"/>
    <col min="5" max="5" width="16.85546875" customWidth="1"/>
    <col min="6" max="6" width="19.42578125" customWidth="1"/>
    <col min="7" max="7" width="11.42578125" customWidth="1"/>
  </cols>
  <sheetData>
    <row r="1" spans="1:10" ht="21.75" thickTop="1" thickBot="1">
      <c r="A1" s="160" t="s">
        <v>606</v>
      </c>
      <c r="B1" s="161"/>
      <c r="C1" s="162"/>
      <c r="D1" s="162"/>
      <c r="E1" s="162"/>
      <c r="F1" s="162"/>
      <c r="G1" s="163"/>
      <c r="H1" s="230"/>
      <c r="I1" s="231" t="s">
        <v>598</v>
      </c>
      <c r="J1" s="231" t="s">
        <v>605</v>
      </c>
    </row>
    <row r="2" spans="1:10" ht="16.5" thickTop="1" thickBot="1">
      <c r="A2" s="164"/>
      <c r="B2" s="164"/>
      <c r="C2" s="164"/>
      <c r="D2" s="165" t="s">
        <v>558</v>
      </c>
      <c r="E2" s="164"/>
      <c r="F2" s="164"/>
      <c r="G2" s="166"/>
      <c r="H2" s="232" t="s">
        <v>599</v>
      </c>
      <c r="I2" s="233">
        <v>436.34</v>
      </c>
      <c r="J2" s="233"/>
    </row>
    <row r="3" spans="1:10" ht="17.25" thickTop="1" thickBot="1">
      <c r="A3" s="164"/>
      <c r="B3" s="167" t="s">
        <v>497</v>
      </c>
      <c r="C3" s="164"/>
      <c r="D3" s="165" t="s">
        <v>559</v>
      </c>
      <c r="E3" s="164"/>
      <c r="F3" s="164"/>
      <c r="G3" s="166"/>
      <c r="H3" s="232" t="s">
        <v>488</v>
      </c>
      <c r="I3" s="233">
        <v>598.28</v>
      </c>
      <c r="J3" s="233"/>
    </row>
    <row r="4" spans="1:10" ht="16.5" thickTop="1" thickBot="1">
      <c r="A4" s="164"/>
      <c r="B4" s="168"/>
      <c r="C4" s="164"/>
      <c r="D4" s="164"/>
      <c r="E4" s="164"/>
      <c r="F4" s="164"/>
      <c r="G4" s="166"/>
      <c r="H4" s="232" t="s">
        <v>600</v>
      </c>
      <c r="I4" s="233">
        <v>7.1130000000000004</v>
      </c>
      <c r="J4" s="233">
        <v>2.254</v>
      </c>
    </row>
    <row r="5" spans="1:10" ht="16.5" thickTop="1" thickBot="1">
      <c r="A5" s="164"/>
      <c r="B5" s="168" t="s">
        <v>498</v>
      </c>
      <c r="C5" s="169">
        <f>I2*0.1</f>
        <v>43.634</v>
      </c>
      <c r="D5" s="170" t="s">
        <v>560</v>
      </c>
      <c r="E5" s="164"/>
      <c r="F5" s="164"/>
      <c r="G5" s="166"/>
      <c r="H5" s="232" t="s">
        <v>601</v>
      </c>
      <c r="I5" s="233">
        <v>354.93</v>
      </c>
      <c r="J5" s="233">
        <v>336.7</v>
      </c>
    </row>
    <row r="6" spans="1:10" ht="16.5" thickTop="1" thickBot="1">
      <c r="A6" s="164"/>
      <c r="B6" s="168" t="s">
        <v>499</v>
      </c>
      <c r="C6" s="169">
        <f>I3*0.1</f>
        <v>59.828000000000003</v>
      </c>
      <c r="D6" s="170" t="s">
        <v>561</v>
      </c>
      <c r="E6" s="164"/>
      <c r="F6" s="164"/>
      <c r="G6" s="166"/>
      <c r="H6" s="232" t="s">
        <v>602</v>
      </c>
      <c r="I6" s="233">
        <v>12.488</v>
      </c>
      <c r="J6" s="233">
        <v>12.664999999999999</v>
      </c>
    </row>
    <row r="7" spans="1:10" ht="16.5" thickTop="1" thickBot="1">
      <c r="A7" s="164"/>
      <c r="B7" s="168" t="s">
        <v>500</v>
      </c>
      <c r="C7" s="169">
        <f>J4*0.1</f>
        <v>0.22540000000000002</v>
      </c>
      <c r="D7" s="170" t="s">
        <v>562</v>
      </c>
      <c r="E7" s="171" t="s">
        <v>589</v>
      </c>
      <c r="F7" s="164"/>
      <c r="G7" s="166"/>
      <c r="H7" s="232" t="s">
        <v>603</v>
      </c>
      <c r="I7" s="233">
        <v>491.38</v>
      </c>
      <c r="J7" s="233">
        <v>473.15</v>
      </c>
    </row>
    <row r="8" spans="1:10" ht="16.5" thickTop="1" thickBot="1">
      <c r="A8" s="164"/>
      <c r="B8" s="168" t="s">
        <v>501</v>
      </c>
      <c r="C8" s="169">
        <f>I4*0.1</f>
        <v>0.71130000000000004</v>
      </c>
      <c r="D8" s="170" t="s">
        <v>563</v>
      </c>
      <c r="E8" s="164"/>
      <c r="F8" s="164"/>
      <c r="G8" s="166"/>
      <c r="H8" s="232" t="s">
        <v>604</v>
      </c>
      <c r="I8" s="233">
        <v>14.013999999999999</v>
      </c>
      <c r="J8" s="233">
        <v>13.141</v>
      </c>
    </row>
    <row r="9" spans="1:10" ht="15.75" thickTop="1">
      <c r="A9" s="164"/>
      <c r="B9" s="168" t="s">
        <v>502</v>
      </c>
      <c r="C9" s="169">
        <f>I5*0.1</f>
        <v>35.493000000000002</v>
      </c>
      <c r="D9" s="170" t="s">
        <v>564</v>
      </c>
      <c r="E9" s="164"/>
      <c r="F9" s="164"/>
      <c r="G9" s="164"/>
      <c r="H9" s="234"/>
      <c r="I9" s="234"/>
      <c r="J9" s="230"/>
    </row>
    <row r="10" spans="1:10">
      <c r="A10" s="164"/>
      <c r="B10" s="168" t="s">
        <v>503</v>
      </c>
      <c r="C10" s="169">
        <f>J5*0.1</f>
        <v>33.67</v>
      </c>
      <c r="D10" s="170" t="s">
        <v>565</v>
      </c>
      <c r="E10" s="164"/>
      <c r="F10" s="164"/>
      <c r="G10" s="164"/>
      <c r="H10" s="230"/>
      <c r="I10" s="230"/>
      <c r="J10" s="230"/>
    </row>
    <row r="11" spans="1:10">
      <c r="A11" s="164"/>
      <c r="B11" s="168" t="s">
        <v>504</v>
      </c>
      <c r="C11" s="169">
        <f>J6*0.1</f>
        <v>1.2665</v>
      </c>
      <c r="D11" s="170" t="s">
        <v>566</v>
      </c>
      <c r="E11" s="164"/>
      <c r="F11" s="164"/>
      <c r="G11" s="164"/>
      <c r="H11" s="230"/>
      <c r="I11" s="230"/>
      <c r="J11" s="230"/>
    </row>
    <row r="12" spans="1:10">
      <c r="A12" s="164"/>
      <c r="B12" s="168" t="s">
        <v>505</v>
      </c>
      <c r="C12" s="169">
        <f>I6*0.1</f>
        <v>1.2488000000000001</v>
      </c>
      <c r="D12" s="170" t="s">
        <v>567</v>
      </c>
      <c r="E12" s="164"/>
      <c r="F12" s="164"/>
      <c r="G12" s="164"/>
      <c r="H12" s="230"/>
      <c r="I12" s="230"/>
      <c r="J12" s="230"/>
    </row>
    <row r="13" spans="1:10">
      <c r="A13" s="164"/>
      <c r="B13" s="168" t="s">
        <v>506</v>
      </c>
      <c r="C13" s="169">
        <f>I7*0.1</f>
        <v>49.138000000000005</v>
      </c>
      <c r="D13" s="170" t="s">
        <v>568</v>
      </c>
      <c r="E13" s="164"/>
      <c r="F13" s="164"/>
      <c r="G13" s="164"/>
      <c r="H13" s="230"/>
      <c r="I13" s="230"/>
      <c r="J13" s="230"/>
    </row>
    <row r="14" spans="1:10">
      <c r="A14" s="164"/>
      <c r="B14" s="168" t="s">
        <v>507</v>
      </c>
      <c r="C14" s="169">
        <f>J7*0.1</f>
        <v>47.314999999999998</v>
      </c>
      <c r="D14" s="170" t="s">
        <v>569</v>
      </c>
      <c r="E14" s="164"/>
      <c r="F14" s="164"/>
      <c r="G14" s="164"/>
      <c r="H14" s="230"/>
      <c r="I14" s="230"/>
      <c r="J14" s="230"/>
    </row>
    <row r="15" spans="1:10">
      <c r="A15" s="164"/>
      <c r="B15" s="168" t="s">
        <v>508</v>
      </c>
      <c r="C15" s="169">
        <f>J8*0.1</f>
        <v>1.3141</v>
      </c>
      <c r="D15" s="170" t="s">
        <v>570</v>
      </c>
      <c r="E15" s="164"/>
      <c r="F15" s="164"/>
      <c r="G15" s="164"/>
      <c r="H15" s="230"/>
      <c r="I15" s="230"/>
      <c r="J15" s="230"/>
    </row>
    <row r="16" spans="1:10">
      <c r="A16" s="164"/>
      <c r="B16" s="168" t="s">
        <v>509</v>
      </c>
      <c r="C16" s="169">
        <f>I8*0.1</f>
        <v>1.4014</v>
      </c>
      <c r="D16" s="170" t="s">
        <v>571</v>
      </c>
      <c r="E16" s="164"/>
      <c r="F16" s="164"/>
      <c r="G16" s="164"/>
      <c r="H16" s="230"/>
      <c r="I16" s="230"/>
      <c r="J16" s="230"/>
    </row>
    <row r="17" spans="1:10">
      <c r="A17" s="164"/>
      <c r="B17" s="172" t="s">
        <v>510</v>
      </c>
      <c r="C17" s="169">
        <v>0.2</v>
      </c>
      <c r="D17" s="173" t="s">
        <v>572</v>
      </c>
      <c r="E17" s="164"/>
      <c r="F17" s="164"/>
      <c r="G17" s="164"/>
      <c r="H17" s="230"/>
      <c r="I17" s="230"/>
      <c r="J17" s="230"/>
    </row>
    <row r="18" spans="1:10">
      <c r="A18" s="164"/>
      <c r="B18" s="172" t="s">
        <v>511</v>
      </c>
      <c r="C18" s="169">
        <v>348</v>
      </c>
      <c r="D18" s="173" t="s">
        <v>573</v>
      </c>
      <c r="E18" s="164"/>
      <c r="F18" s="164"/>
      <c r="G18" s="164"/>
      <c r="H18" s="230"/>
      <c r="I18" s="230"/>
      <c r="J18" s="230"/>
    </row>
    <row r="19" spans="1:10">
      <c r="A19" s="164"/>
      <c r="B19" s="168" t="s">
        <v>512</v>
      </c>
      <c r="C19" s="169">
        <v>400</v>
      </c>
      <c r="D19" s="173" t="s">
        <v>574</v>
      </c>
      <c r="E19" s="164"/>
      <c r="F19" s="164"/>
      <c r="G19" s="164"/>
      <c r="H19" s="230"/>
      <c r="I19" s="230"/>
      <c r="J19" s="230"/>
    </row>
    <row r="20" spans="1:10">
      <c r="A20" s="164"/>
      <c r="B20" s="168" t="s">
        <v>513</v>
      </c>
      <c r="C20" s="169">
        <v>25</v>
      </c>
      <c r="D20" s="173" t="s">
        <v>575</v>
      </c>
      <c r="E20" s="164"/>
      <c r="F20" s="164"/>
      <c r="G20" s="166"/>
      <c r="H20" s="230"/>
      <c r="I20" s="230"/>
      <c r="J20" s="230"/>
    </row>
    <row r="21" spans="1:10">
      <c r="A21" s="164"/>
      <c r="B21" s="172" t="s">
        <v>514</v>
      </c>
      <c r="C21" s="169">
        <v>1.5</v>
      </c>
      <c r="D21" s="173" t="s">
        <v>576</v>
      </c>
      <c r="E21" s="164"/>
      <c r="F21" s="164"/>
      <c r="G21" s="166"/>
      <c r="H21" s="230"/>
      <c r="I21" s="230"/>
      <c r="J21" s="230"/>
    </row>
    <row r="22" spans="1:10">
      <c r="A22" s="164"/>
      <c r="B22" s="174" t="s">
        <v>515</v>
      </c>
      <c r="C22" s="169">
        <v>1.6</v>
      </c>
      <c r="D22" s="173" t="s">
        <v>577</v>
      </c>
      <c r="E22" s="164"/>
      <c r="F22" s="164"/>
      <c r="G22" s="166"/>
      <c r="H22" s="230"/>
      <c r="I22" s="230"/>
      <c r="J22" s="230"/>
    </row>
    <row r="23" spans="1:10">
      <c r="A23" s="164"/>
      <c r="B23" s="168" t="s">
        <v>516</v>
      </c>
      <c r="C23" s="169">
        <v>0.3</v>
      </c>
      <c r="D23" s="173" t="s">
        <v>578</v>
      </c>
      <c r="E23" s="164"/>
      <c r="F23" s="164"/>
      <c r="G23" s="166"/>
      <c r="H23" s="230"/>
      <c r="I23" s="230"/>
      <c r="J23" s="230"/>
    </row>
    <row r="24" spans="1:10">
      <c r="A24" s="164"/>
      <c r="B24" s="168" t="s">
        <v>517</v>
      </c>
      <c r="C24" s="169">
        <v>0.3</v>
      </c>
      <c r="D24" s="173" t="s">
        <v>579</v>
      </c>
      <c r="E24" s="164"/>
      <c r="F24" s="164"/>
      <c r="G24" s="166"/>
      <c r="H24" s="230"/>
      <c r="I24" s="230"/>
      <c r="J24" s="230"/>
    </row>
    <row r="25" spans="1:10">
      <c r="A25" s="164"/>
      <c r="B25" s="168" t="s">
        <v>518</v>
      </c>
      <c r="C25" s="169">
        <v>0.05</v>
      </c>
      <c r="D25" s="173" t="s">
        <v>580</v>
      </c>
      <c r="E25" s="164"/>
      <c r="F25" s="164"/>
      <c r="G25" s="166"/>
      <c r="H25" s="230"/>
      <c r="I25" s="230"/>
      <c r="J25" s="230"/>
    </row>
    <row r="26" spans="1:10">
      <c r="A26" s="164"/>
      <c r="B26" s="168" t="s">
        <v>519</v>
      </c>
      <c r="C26" s="169">
        <v>0.7</v>
      </c>
      <c r="D26" s="173" t="s">
        <v>581</v>
      </c>
      <c r="E26" s="164"/>
      <c r="F26" s="164"/>
      <c r="G26" s="166"/>
      <c r="H26" s="230"/>
      <c r="I26" s="230"/>
      <c r="J26" s="230"/>
    </row>
    <row r="27" spans="1:10">
      <c r="A27" s="175"/>
      <c r="B27" s="172" t="s">
        <v>511</v>
      </c>
      <c r="C27" s="176">
        <f>MIN((2*C19/3),(110*SQRT(C22*C28)))</f>
        <v>201.63333057805698</v>
      </c>
      <c r="D27" s="173" t="s">
        <v>582</v>
      </c>
      <c r="E27" s="164"/>
      <c r="F27" s="164"/>
      <c r="G27" s="166"/>
      <c r="H27" s="230"/>
      <c r="I27" s="230"/>
      <c r="J27" s="230"/>
    </row>
    <row r="28" spans="1:10">
      <c r="A28" s="164"/>
      <c r="B28" s="168" t="s">
        <v>520</v>
      </c>
      <c r="C28" s="176">
        <f>0.6+0.06*C20</f>
        <v>2.1</v>
      </c>
      <c r="D28" s="173" t="s">
        <v>583</v>
      </c>
      <c r="E28" s="164"/>
      <c r="F28" s="164"/>
      <c r="G28" s="166"/>
      <c r="H28" s="230"/>
      <c r="I28" s="230"/>
      <c r="J28" s="230"/>
    </row>
    <row r="29" spans="1:10" ht="15.75" thickBot="1">
      <c r="A29" s="177"/>
      <c r="B29" s="178"/>
      <c r="C29" s="178"/>
      <c r="D29" s="178"/>
      <c r="E29" s="178"/>
      <c r="F29" s="178"/>
      <c r="G29" s="179"/>
      <c r="H29" s="230"/>
      <c r="I29" s="230"/>
      <c r="J29" s="230"/>
    </row>
    <row r="30" spans="1:10" ht="15.75" thickTop="1">
      <c r="A30" s="164"/>
      <c r="B30" s="164"/>
      <c r="C30" s="164"/>
      <c r="D30" s="164"/>
      <c r="E30" s="164"/>
      <c r="F30" s="164"/>
      <c r="G30" s="166"/>
      <c r="H30" s="230"/>
      <c r="I30" s="230"/>
      <c r="J30" s="230"/>
    </row>
    <row r="31" spans="1:10">
      <c r="A31" s="164"/>
      <c r="B31" s="164"/>
      <c r="C31" s="164"/>
      <c r="D31" s="180" t="s">
        <v>584</v>
      </c>
      <c r="E31" s="164"/>
      <c r="F31" s="164"/>
      <c r="G31" s="166"/>
      <c r="H31" s="230"/>
      <c r="I31" s="230"/>
      <c r="J31" s="230"/>
    </row>
    <row r="32" spans="1:10">
      <c r="A32" s="164"/>
      <c r="B32" s="164"/>
      <c r="C32" s="164"/>
      <c r="D32" s="164"/>
      <c r="E32" s="164"/>
      <c r="F32" s="164"/>
      <c r="G32" s="166"/>
      <c r="H32" s="230"/>
      <c r="I32" s="230"/>
      <c r="J32" s="230"/>
    </row>
    <row r="33" spans="1:10">
      <c r="A33" s="164"/>
      <c r="B33" s="164"/>
      <c r="C33" s="168" t="s">
        <v>536</v>
      </c>
      <c r="D33" s="176">
        <f>SQRT(C5*C24*0.01/(C17*C23))</f>
        <v>1.4770578864756789</v>
      </c>
      <c r="E33" s="170" t="s">
        <v>590</v>
      </c>
      <c r="F33" s="164"/>
      <c r="G33" s="166"/>
      <c r="H33" s="230"/>
      <c r="I33" s="230"/>
      <c r="J33" s="230"/>
    </row>
    <row r="34" spans="1:10">
      <c r="A34" s="164"/>
      <c r="B34" s="164"/>
      <c r="C34" s="168" t="s">
        <v>537</v>
      </c>
      <c r="D34" s="169">
        <v>1.6</v>
      </c>
      <c r="E34" s="164"/>
      <c r="F34" s="164"/>
      <c r="G34" s="166"/>
      <c r="H34" s="230"/>
      <c r="I34" s="230"/>
      <c r="J34" s="230"/>
    </row>
    <row r="35" spans="1:10">
      <c r="A35" s="164"/>
      <c r="B35" s="164"/>
      <c r="C35" s="168" t="s">
        <v>538</v>
      </c>
      <c r="D35" s="176">
        <f>C23*D33/C24</f>
        <v>1.4770578864756789</v>
      </c>
      <c r="E35" s="170" t="s">
        <v>591</v>
      </c>
      <c r="F35" s="164"/>
      <c r="G35" s="166"/>
      <c r="H35" s="230"/>
      <c r="I35" s="230"/>
      <c r="J35" s="230"/>
    </row>
    <row r="36" spans="1:10">
      <c r="A36" s="164"/>
      <c r="B36" s="164"/>
      <c r="C36" s="168" t="s">
        <v>539</v>
      </c>
      <c r="D36" s="169">
        <v>1.6</v>
      </c>
      <c r="E36" s="164"/>
      <c r="F36" s="164"/>
      <c r="G36" s="166"/>
      <c r="H36" s="230"/>
      <c r="I36" s="230"/>
      <c r="J36" s="230"/>
    </row>
    <row r="37" spans="1:10">
      <c r="A37" s="164"/>
      <c r="B37" s="164"/>
      <c r="C37" s="168" t="s">
        <v>540</v>
      </c>
      <c r="D37" s="176">
        <f>MAX(((D36-C23)/4),((D34-C24)/4))+C25</f>
        <v>0.375</v>
      </c>
      <c r="E37" s="170" t="s">
        <v>592</v>
      </c>
      <c r="F37" s="164"/>
      <c r="G37" s="166"/>
      <c r="H37" s="230"/>
      <c r="I37" s="230"/>
      <c r="J37" s="230"/>
    </row>
    <row r="38" spans="1:10">
      <c r="A38" s="164"/>
      <c r="B38" s="193"/>
      <c r="C38" s="168" t="s">
        <v>541</v>
      </c>
      <c r="D38" s="169">
        <v>0.4</v>
      </c>
      <c r="E38" s="164"/>
      <c r="F38" s="164"/>
      <c r="G38" s="166"/>
      <c r="H38" s="230"/>
      <c r="I38" s="230"/>
      <c r="J38" s="230"/>
    </row>
    <row r="39" spans="1:10">
      <c r="A39" s="164"/>
      <c r="B39" s="164"/>
      <c r="C39" s="164"/>
      <c r="D39" s="164"/>
      <c r="E39" s="164"/>
      <c r="F39" s="164"/>
      <c r="G39" s="166"/>
      <c r="H39" s="230"/>
      <c r="I39" s="230"/>
      <c r="J39" s="230"/>
    </row>
    <row r="40" spans="1:10">
      <c r="A40" s="164"/>
      <c r="B40" s="180" t="s">
        <v>521</v>
      </c>
      <c r="C40" s="164"/>
      <c r="D40" s="164"/>
      <c r="E40" s="164"/>
      <c r="F40" s="164"/>
      <c r="G40" s="166"/>
      <c r="H40" s="230"/>
      <c r="I40" s="230"/>
      <c r="J40" s="230"/>
    </row>
    <row r="41" spans="1:10">
      <c r="A41" s="164"/>
      <c r="B41" s="164"/>
      <c r="C41" s="164"/>
      <c r="D41" s="164"/>
      <c r="E41" s="164"/>
      <c r="F41" s="164"/>
      <c r="G41" s="166"/>
      <c r="H41" s="230"/>
      <c r="I41" s="230"/>
      <c r="J41" s="230"/>
    </row>
    <row r="42" spans="1:10">
      <c r="A42" s="164"/>
      <c r="B42" s="164"/>
      <c r="C42" s="168" t="s">
        <v>542</v>
      </c>
      <c r="D42" s="176">
        <f>C5+(2.5*C23*C24*C26)+(2.5*D34*D36*D38)+2*((C26+D38)*D34*D36-(C23*C24*C26)-(D34*D36*D38))</f>
        <v>49.8095</v>
      </c>
      <c r="E42" s="164"/>
      <c r="F42" s="164"/>
      <c r="G42" s="166"/>
      <c r="H42" s="230"/>
      <c r="I42" s="230"/>
      <c r="J42" s="230"/>
    </row>
    <row r="43" spans="1:10">
      <c r="A43" s="164"/>
      <c r="B43" s="164"/>
      <c r="C43" s="172" t="s">
        <v>543</v>
      </c>
      <c r="D43" s="176">
        <f>D42*0.01/(D34*D36)</f>
        <v>0.19456835937499997</v>
      </c>
      <c r="E43" s="219" t="str">
        <f>IF(D43&lt;C17,"Vérifiée","Augmenter A et B")</f>
        <v>Vérifiée</v>
      </c>
      <c r="F43" s="164"/>
      <c r="G43" s="166"/>
      <c r="H43" s="230"/>
      <c r="I43" s="230"/>
      <c r="J43" s="230"/>
    </row>
    <row r="44" spans="1:10">
      <c r="A44" s="164"/>
      <c r="B44" s="164"/>
      <c r="C44" s="165"/>
      <c r="D44" s="164"/>
      <c r="E44" s="164"/>
      <c r="F44" s="164"/>
      <c r="G44" s="166"/>
      <c r="H44" s="230"/>
      <c r="I44" s="230"/>
      <c r="J44" s="230"/>
    </row>
    <row r="45" spans="1:10">
      <c r="A45" s="175"/>
      <c r="B45" s="180" t="s">
        <v>522</v>
      </c>
      <c r="C45" s="164"/>
      <c r="D45" s="164"/>
      <c r="E45" s="164"/>
      <c r="F45" s="164"/>
      <c r="G45" s="166"/>
      <c r="H45" s="230"/>
      <c r="I45" s="230"/>
      <c r="J45" s="230"/>
    </row>
    <row r="46" spans="1:10">
      <c r="A46" s="164"/>
      <c r="B46" s="164"/>
      <c r="C46" s="164"/>
      <c r="D46" s="215"/>
      <c r="E46" s="164"/>
      <c r="F46" s="164"/>
      <c r="G46" s="166"/>
      <c r="H46" s="230"/>
      <c r="I46" s="230"/>
      <c r="J46" s="230"/>
    </row>
    <row r="47" spans="1:10">
      <c r="A47" s="175"/>
      <c r="B47" s="164"/>
      <c r="C47" s="205" t="s">
        <v>544</v>
      </c>
      <c r="D47" s="164"/>
      <c r="E47" s="164"/>
      <c r="F47" s="164"/>
      <c r="G47" s="166"/>
      <c r="H47" s="230"/>
      <c r="I47" s="230"/>
      <c r="J47" s="230"/>
    </row>
    <row r="48" spans="1:10" ht="15.75" thickBot="1">
      <c r="A48" s="181" t="s">
        <v>475</v>
      </c>
      <c r="B48" s="164"/>
      <c r="C48" s="164"/>
      <c r="D48" s="164"/>
      <c r="E48" s="164"/>
      <c r="F48" s="164"/>
      <c r="G48" s="166"/>
      <c r="H48" s="230"/>
      <c r="I48" s="230"/>
      <c r="J48" s="230"/>
    </row>
    <row r="49" spans="1:10" ht="15.75" thickBot="1">
      <c r="A49" s="182" t="s">
        <v>476</v>
      </c>
      <c r="B49" s="194"/>
      <c r="C49" s="206" t="s">
        <v>545</v>
      </c>
      <c r="D49" s="211"/>
      <c r="E49" s="220" t="s">
        <v>593</v>
      </c>
      <c r="F49" s="223"/>
      <c r="G49" s="166"/>
      <c r="H49" s="230"/>
      <c r="I49" s="230"/>
      <c r="J49" s="230"/>
    </row>
    <row r="50" spans="1:10" ht="15.75" thickBot="1">
      <c r="A50" s="183" t="s">
        <v>477</v>
      </c>
      <c r="B50" s="195">
        <f>4*C11/C9</f>
        <v>0.14273236976305187</v>
      </c>
      <c r="C50" s="207" t="s">
        <v>477</v>
      </c>
      <c r="D50" s="195">
        <f>4*C15/C13</f>
        <v>0.10697220074077088</v>
      </c>
      <c r="E50" s="221" t="s">
        <v>477</v>
      </c>
      <c r="F50" s="224">
        <f>4*C7/C6</f>
        <v>1.5069866951928863E-2</v>
      </c>
      <c r="G50" s="166"/>
      <c r="H50" s="230"/>
      <c r="I50" s="230"/>
      <c r="J50" s="230"/>
    </row>
    <row r="51" spans="1:10" ht="15.75" thickBot="1">
      <c r="A51" s="183" t="s">
        <v>478</v>
      </c>
      <c r="B51" s="196" t="str">
        <f>IF(D34&gt;=B50,"Vérifiée","N vérifiée")</f>
        <v>Vérifiée</v>
      </c>
      <c r="C51" s="207" t="s">
        <v>478</v>
      </c>
      <c r="D51" s="196" t="str">
        <f>IF(D34&gt;=D50,"Vérifiée","N vérifiée")</f>
        <v>Vérifiée</v>
      </c>
      <c r="E51" s="221" t="s">
        <v>478</v>
      </c>
      <c r="F51" s="225" t="str">
        <f>IF(D34&gt;=F50,"Vérifiée","N vérifiée")</f>
        <v>Vérifiée</v>
      </c>
      <c r="G51" s="166"/>
      <c r="H51" s="230"/>
      <c r="I51" s="230"/>
      <c r="J51" s="230"/>
    </row>
    <row r="52" spans="1:10" ht="15.75" thickBot="1">
      <c r="A52" s="181" t="s">
        <v>479</v>
      </c>
      <c r="B52" s="197"/>
      <c r="C52" s="168"/>
      <c r="D52" s="197"/>
      <c r="E52" s="168"/>
      <c r="F52" s="197"/>
      <c r="G52" s="166"/>
      <c r="H52" s="230"/>
      <c r="I52" s="230"/>
      <c r="J52" s="230"/>
    </row>
    <row r="53" spans="1:10" ht="15.75" thickBot="1">
      <c r="A53" s="182" t="s">
        <v>480</v>
      </c>
      <c r="B53" s="194"/>
      <c r="C53" s="206" t="s">
        <v>546</v>
      </c>
      <c r="D53" s="211"/>
      <c r="E53" s="220" t="s">
        <v>594</v>
      </c>
      <c r="F53" s="223"/>
      <c r="G53" s="166"/>
      <c r="H53" s="230"/>
      <c r="I53" s="230"/>
      <c r="J53" s="230"/>
    </row>
    <row r="54" spans="1:10" ht="15.75" thickBot="1">
      <c r="A54" s="183" t="s">
        <v>477</v>
      </c>
      <c r="B54" s="195">
        <f>4*C12/C10</f>
        <v>0.14835758835758836</v>
      </c>
      <c r="C54" s="207" t="s">
        <v>477</v>
      </c>
      <c r="D54" s="195">
        <f>4*C16/C13</f>
        <v>0.11407871708250232</v>
      </c>
      <c r="E54" s="221" t="s">
        <v>477</v>
      </c>
      <c r="F54" s="224">
        <f>4*C8/C6</f>
        <v>4.7556328140669922E-2</v>
      </c>
      <c r="G54" s="166"/>
      <c r="H54" s="230"/>
      <c r="I54" s="230"/>
      <c r="J54" s="230"/>
    </row>
    <row r="55" spans="1:10" ht="15.75" thickBot="1">
      <c r="A55" s="183" t="s">
        <v>478</v>
      </c>
      <c r="B55" s="196" t="str">
        <f>IF(D34&gt;=B54,"Vérifiée","N vérifiée")</f>
        <v>Vérifiée</v>
      </c>
      <c r="C55" s="207" t="s">
        <v>478</v>
      </c>
      <c r="D55" s="196" t="str">
        <f>IF(D34&gt;=D54,"Vérifiée","N vérifiée")</f>
        <v>Vérifiée</v>
      </c>
      <c r="E55" s="221" t="s">
        <v>478</v>
      </c>
      <c r="F55" s="225" t="str">
        <f>IF(D34&gt;=F54,"Vérifiée","N vérifiée")</f>
        <v>Vérifiée</v>
      </c>
      <c r="G55" s="166"/>
      <c r="H55" s="230"/>
      <c r="I55" s="230"/>
      <c r="J55" s="230"/>
    </row>
    <row r="56" spans="1:10">
      <c r="A56" s="168"/>
      <c r="B56" s="197"/>
      <c r="C56" s="168"/>
      <c r="D56" s="197"/>
      <c r="E56" s="168"/>
      <c r="F56" s="197"/>
      <c r="G56" s="166"/>
      <c r="H56" s="230"/>
      <c r="I56" s="230"/>
      <c r="J56" s="230"/>
    </row>
    <row r="57" spans="1:10">
      <c r="A57" s="164"/>
      <c r="B57" s="164"/>
      <c r="C57" s="164"/>
      <c r="D57" s="164"/>
      <c r="E57" s="164"/>
      <c r="F57" s="164"/>
      <c r="G57" s="166"/>
      <c r="H57" s="230"/>
      <c r="I57" s="230"/>
      <c r="J57" s="230"/>
    </row>
    <row r="58" spans="1:10">
      <c r="A58" s="164"/>
      <c r="B58" s="164"/>
      <c r="C58" s="208" t="s">
        <v>547</v>
      </c>
      <c r="D58" s="164"/>
      <c r="E58" s="164"/>
      <c r="F58" s="164"/>
      <c r="G58" s="166"/>
      <c r="H58" s="230"/>
      <c r="I58" s="230"/>
      <c r="J58" s="230"/>
    </row>
    <row r="59" spans="1:10" ht="15.75" thickBot="1">
      <c r="A59" s="181" t="s">
        <v>475</v>
      </c>
      <c r="B59" s="198"/>
      <c r="C59" s="198"/>
      <c r="D59" s="198"/>
      <c r="E59" s="198"/>
      <c r="F59" s="198"/>
      <c r="G59" s="166"/>
      <c r="H59" s="230"/>
      <c r="I59" s="230"/>
      <c r="J59" s="230"/>
    </row>
    <row r="60" spans="1:10" ht="15.75" thickBot="1">
      <c r="A60" s="182" t="s">
        <v>481</v>
      </c>
      <c r="B60" s="194"/>
      <c r="C60" s="209" t="s">
        <v>545</v>
      </c>
      <c r="D60" s="194"/>
      <c r="E60" s="209" t="s">
        <v>593</v>
      </c>
      <c r="F60" s="194"/>
      <c r="G60" s="166"/>
      <c r="H60" s="230"/>
      <c r="I60" s="230"/>
      <c r="J60" s="230"/>
    </row>
    <row r="61" spans="1:10" ht="15.75" thickBot="1">
      <c r="A61" s="184" t="s">
        <v>482</v>
      </c>
      <c r="B61" s="199">
        <f>IF(ABS(((C9/(D34*D36))*(1+(6*C11/(C9*D34))))*0.01)&gt;ABS(((C9/(D34*D36))*(1-(6*C11/(C9*D34))))*0.01),(((C9/(D34*D36))*(1+(6*C11/(C9*D34))))*0.01),(((C9/(D34*D36))*(1-(6*C11/(C9*D34))))*0.01))</f>
        <v>0.15719677734374998</v>
      </c>
      <c r="C61" s="210" t="s">
        <v>482</v>
      </c>
      <c r="D61" s="199">
        <f>IF(ABS(((C13/(D34*D36))*(1+(6*C15/(C13*D34))))*0.01)&gt;ABS(((C13/(D34*D36))*(1-(6*C15/(C13*D34))))*0.01),(((C13/(D34*D36))*(1+(6*C15/(C13*D34))))*0.01),(((C13/(D34*D36))*(1-(6*C15/(C13*D34))))*0.01))</f>
        <v>0.21119482421874999</v>
      </c>
      <c r="E61" s="210" t="s">
        <v>482</v>
      </c>
      <c r="F61" s="199">
        <f>IF(ABS(((C6/(D34*D36))*(1+(6*C7/(C6*D34))))*0.01)&gt;ABS(((C6/(D34*D36))*(1-(6*C7/(C6*D34))))*0.01),(((C6/(D34*D36))*(1+(6*C7/(C6*D34))))*0.01),(((C6/(D34*D36))*(1-(6*C7/(C6*D34))))*0.01))</f>
        <v>0.23700488281249998</v>
      </c>
      <c r="G61" s="166"/>
      <c r="H61" s="230"/>
      <c r="I61" s="230"/>
      <c r="J61" s="230"/>
    </row>
    <row r="62" spans="1:10" ht="15.75" thickBot="1">
      <c r="A62" s="184" t="s">
        <v>483</v>
      </c>
      <c r="B62" s="199">
        <f>IF(ABS(((C9/(D34*D36))*(1+(6*C11/(C9*D34))))*0.01)&lt;ABS(((C9/(D34*D36))*(1-(6*C11/(C9*D34))))*0.01),(((C9/(D34*D36))*(1+(6*C11/(C9*D34))))*0.01),(((C9/(D34*D36))*(1-(6*C11/(C9*D34))))*0.01))</f>
        <v>0.12009228515624999</v>
      </c>
      <c r="C62" s="210" t="s">
        <v>483</v>
      </c>
      <c r="D62" s="199">
        <f>IF(ABS(((C13/(D34*D36))*(1+(6*C15/(C13*D34))))*0.01)&lt;ABS(((C13/(D34*D36))*(1-(6*C15/(C13*D34))))*0.01),(((C13/(D34*D36))*(1+(6*C15/(C13*D34))))*0.01),(((C13/(D34*D36))*(1-(6*C15/(C13*D34))))*0.01))</f>
        <v>0.17269580078124999</v>
      </c>
      <c r="E62" s="210" t="s">
        <v>483</v>
      </c>
      <c r="F62" s="199">
        <f>IF(ABS(((C6/(D34*D36))*(1+(6*C7/(C6*D34))))*0.01)&lt;ABS(((C6/(D34*D36))*(1-(6*C7/(C6*D34))))*0.01),(((C6/(D34*D36))*(1+(6*C7/(C6*D34))))*0.01),(((C6/(D34*D36))*(1-(6*C7/(C6*D34))))*0.01))</f>
        <v>0.23040136718749996</v>
      </c>
      <c r="G62" s="166"/>
      <c r="H62" s="230"/>
      <c r="I62" s="230"/>
      <c r="J62" s="230"/>
    </row>
    <row r="63" spans="1:10" ht="15.75" thickBot="1">
      <c r="A63" s="676" t="str">
        <f>IF(B61&gt;=0,IF(B62&lt;0,"Diagramme triangulaire","Diagramme trapézoidale"),IF(B61&lt;0,IF(B62&gt;=0,"Diagramme triangulaire","Diagramme trapézoidale")))</f>
        <v>Diagramme trapézoidale</v>
      </c>
      <c r="B63" s="677"/>
      <c r="C63" s="678" t="str">
        <f>IF(D61&gt;=0,IF(D62&lt;0,"Diagramme triangulaire","Diagramme trapézoidale"),IF(D61&lt;0,IF(D62&gt;=0,"Diagramme triangulaire","Diagramme trapézoidale")))</f>
        <v>Diagramme trapézoidale</v>
      </c>
      <c r="D63" s="677"/>
      <c r="E63" s="678" t="str">
        <f>IF(F61&gt;=0,IF(F62&lt;0,"Diagramme triangulaire","Diagramme trapézoidale"),IF(F61&lt;0,IF(F62&gt;=0,"Diagramme triangulaire","Diagramme trapézoidale")))</f>
        <v>Diagramme trapézoidale</v>
      </c>
      <c r="F63" s="677"/>
      <c r="G63" s="166"/>
      <c r="H63" s="230"/>
      <c r="I63" s="230"/>
      <c r="J63" s="230"/>
    </row>
    <row r="64" spans="1:10" ht="15.75" thickBot="1">
      <c r="A64" s="184" t="s">
        <v>484</v>
      </c>
      <c r="B64" s="199">
        <f>IF(B61&gt;=0,IF(B62&lt;0,(2*B61/3),((3*B61+B62)/4)),IF(B61&lt;0,IF(B62&gt;=0,(2*B61/3),((3*B61+B62)/4))))</f>
        <v>0.14792065429687498</v>
      </c>
      <c r="C64" s="210" t="s">
        <v>484</v>
      </c>
      <c r="D64" s="199">
        <f>IF(D61&gt;=0,IF(D62&lt;0,(2*D61/3),((3*D61+D62)/4)),IF(D61&lt;0,IF(D62&gt;=0,(2*D61/3),((3*D61+D62)/4))))</f>
        <v>0.20157006835937499</v>
      </c>
      <c r="E64" s="210" t="s">
        <v>484</v>
      </c>
      <c r="F64" s="199">
        <f>IF(F61&gt;=0,IF(F62&lt;0,(2*F61/3),((3*F61+F62)/4)),IF(F61&lt;0,IF(F62&gt;=0,(2*F61/3),((3*F61+F62)/4))))</f>
        <v>0.23535400390624997</v>
      </c>
      <c r="G64" s="166"/>
      <c r="H64" s="230"/>
      <c r="I64" s="230"/>
      <c r="J64" s="230"/>
    </row>
    <row r="65" spans="1:10" ht="15.75" thickBot="1">
      <c r="A65" s="185" t="s">
        <v>485</v>
      </c>
      <c r="B65" s="200" t="str">
        <f>IF((2*C17)&gt;=ABS(B64),"Vérifiée","N vérifiée")</f>
        <v>Vérifiée</v>
      </c>
      <c r="C65" s="211" t="s">
        <v>485</v>
      </c>
      <c r="D65" s="200" t="str">
        <f>IF((2*C17)&gt;=ABS(D64),"Vérifiée","N vérifiée")</f>
        <v>Vérifiée</v>
      </c>
      <c r="E65" s="211" t="s">
        <v>485</v>
      </c>
      <c r="F65" s="200" t="str">
        <f>IF((2*C17)&gt;=ABS(F64),"Vérifiée","N vérifiée")</f>
        <v>Vérifiée</v>
      </c>
      <c r="G65" s="166"/>
      <c r="H65" s="230"/>
      <c r="I65" s="230"/>
      <c r="J65" s="230"/>
    </row>
    <row r="66" spans="1:10" ht="15.75" thickBot="1">
      <c r="A66" s="181" t="s">
        <v>479</v>
      </c>
      <c r="B66" s="197"/>
      <c r="C66" s="168"/>
      <c r="D66" s="197"/>
      <c r="E66" s="168"/>
      <c r="F66" s="197"/>
      <c r="G66" s="166"/>
      <c r="H66" s="230"/>
      <c r="I66" s="230"/>
      <c r="J66" s="230"/>
    </row>
    <row r="67" spans="1:10" ht="15.75" thickBot="1">
      <c r="A67" s="182" t="s">
        <v>486</v>
      </c>
      <c r="B67" s="194"/>
      <c r="C67" s="209" t="s">
        <v>546</v>
      </c>
      <c r="D67" s="194"/>
      <c r="E67" s="209" t="s">
        <v>595</v>
      </c>
      <c r="F67" s="194"/>
      <c r="G67" s="166"/>
      <c r="H67" s="230"/>
      <c r="I67" s="230"/>
      <c r="J67" s="230"/>
    </row>
    <row r="68" spans="1:10" ht="15.75" thickBot="1">
      <c r="A68" s="184" t="s">
        <v>482</v>
      </c>
      <c r="B68" s="199">
        <f>IF(ABS(((C10/(D34*D36))*(1+(6*C12/(C10*D36))))*0.01)&gt;ABS(((C10/(D34*D36))*(1-(6*C12/(C10*D36))))*0.01),(((C10/(D34*D36))*(1+(6*C12/(C10*D36))))*0.01),(((C10/(D34*D36))*(1-(6*C12/(C10*D36))))*0.01))</f>
        <v>0.14981640624999998</v>
      </c>
      <c r="C68" s="210" t="s">
        <v>482</v>
      </c>
      <c r="D68" s="199">
        <f>IF(ABS(((C14/(D34*D36))*(1+(6*C16/(C14*D36))))*0.01)&gt;ABS(((C14/(D34*D36))*(1-(6*C16/(C14*D36))))*0.01),(((C14/(D34*D36))*(1+(6*C16/(C14*D36))))*0.01),(((C14/(D34*D36))*(1-(6*C16/(C14*D36))))*0.01))</f>
        <v>0.20535253906249995</v>
      </c>
      <c r="E68" s="210" t="s">
        <v>482</v>
      </c>
      <c r="F68" s="199">
        <f>IF(ABS(((C6/(D34*D36))*(1+(6*C8/(C6*D36))))*0.01)&gt;ABS(((C6/(D34*D36))*(1-(6*C8/(C6*D36))))*0.01),(((C6/(D34*D36))*(1+(6*C8/(C6*D36))))*0.01),(((C6/(D34*D36))*(1-(6*C8/(C6*D36))))*0.01))</f>
        <v>0.24412255859374998</v>
      </c>
      <c r="G68" s="166"/>
      <c r="H68" s="230"/>
      <c r="I68" s="230"/>
      <c r="J68" s="230"/>
    </row>
    <row r="69" spans="1:10" ht="15.75" thickBot="1">
      <c r="A69" s="184" t="s">
        <v>483</v>
      </c>
      <c r="B69" s="199">
        <f>IF(ABS(((C10/(D34*D36))*(1+(6*C12/(C10*D36))))*0.01)&lt;ABS(((C10/(D34*D36))*(1-(6*C12/(C10*D36))))*0.01),(((C10/(D34*D36))*(1+(6*C12/(C10*D36))))*0.01),(((C10/(D34*D36))*(1-(6*C12/(C10*D36))))*0.01))</f>
        <v>0.11323046874999999</v>
      </c>
      <c r="C69" s="210" t="s">
        <v>483</v>
      </c>
      <c r="D69" s="199">
        <f>IF(ABS(((C14/(D34*D36))*(1+(6*C16/(C14*D36))))*0.01)&lt;ABS(((C14/(D34*D36))*(1-(6*C16/(C14*D36))))*0.01),(((C14/(D34*D36))*(1+(6*C16/(C14*D36))))*0.01),(((C14/(D34*D36))*(1-(6*C16/(C14*D36))))*0.01))</f>
        <v>0.16429589843749998</v>
      </c>
      <c r="E69" s="210" t="s">
        <v>483</v>
      </c>
      <c r="F69" s="199">
        <f>IF(ABS(((C6/(D34*D36))*(1+(6*C8/(C6*D36))))*0.01)&lt;ABS(((C6/(D34*D36))*(1-(6*C8/(C6*D36))))*0.01),(((C6/(D34*D36))*(1+(6*C8/(C6*D36))))*0.01),(((C6/(D34*D36))*(1-(6*C8/(C6*D36))))*0.01))</f>
        <v>0.22328369140625001</v>
      </c>
      <c r="G69" s="166"/>
      <c r="H69" s="230"/>
      <c r="I69" s="230"/>
      <c r="J69" s="230"/>
    </row>
    <row r="70" spans="1:10" ht="15.75" thickBot="1">
      <c r="A70" s="676" t="str">
        <f>IF(B68&gt;=0,IF(B69&lt;0,"Diagramme triangulaire","Diagramme trapézoidale"),IF(B68&lt;0,IF(B69&gt;=0,"Diagramme triangulaire","Diagramme trapézoidale")))</f>
        <v>Diagramme trapézoidale</v>
      </c>
      <c r="B70" s="677"/>
      <c r="C70" s="678" t="str">
        <f>IF(D68&gt;=0,IF(D69&lt;0,"Diagramme triangulaire","Diagramme trapézoidale"),IF(D68&lt;0,IF(D69&gt;=0,"Diagramme triangulaire","Diagramme trapézoidale")))</f>
        <v>Diagramme trapézoidale</v>
      </c>
      <c r="D70" s="677"/>
      <c r="E70" s="678" t="str">
        <f>IF(F68&gt;=0,IF(F69&lt;0,"Diagramme triangulaire","Diagramme trapézoidale"),IF(F68&lt;0,IF(F69&gt;=0,"Diagramme triangulaire","Diagramme trapézoidale")))</f>
        <v>Diagramme trapézoidale</v>
      </c>
      <c r="F70" s="677"/>
      <c r="G70" s="166"/>
      <c r="H70" s="230"/>
      <c r="I70" s="230"/>
      <c r="J70" s="230"/>
    </row>
    <row r="71" spans="1:10" ht="15.75" thickBot="1">
      <c r="A71" s="184" t="s">
        <v>484</v>
      </c>
      <c r="B71" s="199">
        <f>IF(B68&gt;=0,IF(B69&lt;0,(2*B68/3),((3*B68+B69)/4)),IF(B68&lt;0,IF(B69&gt;=0,(2*B68/3),((3*B68+B69)/4))))</f>
        <v>0.14066992187499999</v>
      </c>
      <c r="C71" s="210" t="s">
        <v>484</v>
      </c>
      <c r="D71" s="199">
        <f>IF(D68&gt;=0,IF(D69&lt;0,(2*D68/3),((3*D68+D69)/4)),IF(D68&lt;0,IF(D69&gt;=0,(2*D68/3),((3*D68+D69)/4))))</f>
        <v>0.19508837890624997</v>
      </c>
      <c r="E71" s="210" t="s">
        <v>484</v>
      </c>
      <c r="F71" s="199">
        <f>IF(F68&gt;=0,IF(F69&lt;0,(2*F68/3),((3*F68+F69)/4)),IF(F68&lt;0,IF(F69&gt;=0,(2*F68/3),((3*F68+F69)/4))))</f>
        <v>0.238912841796875</v>
      </c>
      <c r="G71" s="239"/>
      <c r="H71" s="230"/>
      <c r="I71" s="230"/>
      <c r="J71" s="230"/>
    </row>
    <row r="72" spans="1:10" ht="15.75" thickBot="1">
      <c r="A72" s="185" t="s">
        <v>485</v>
      </c>
      <c r="B72" s="200" t="str">
        <f>IF((2*C24)&gt;=ABS(B71),"Vérifiée","N vérifiée")</f>
        <v>Vérifiée</v>
      </c>
      <c r="C72" s="211" t="s">
        <v>485</v>
      </c>
      <c r="D72" s="200" t="str">
        <f>IF((2*C24)&gt;=ABS(D71),"Vérifiée","N vérifiée")</f>
        <v>Vérifiée</v>
      </c>
      <c r="E72" s="211" t="s">
        <v>485</v>
      </c>
      <c r="F72" s="200" t="str">
        <f>IF((2*C24)&gt;=ABS(F71),"Vérifiée","N vérifiée")</f>
        <v>Vérifiée</v>
      </c>
      <c r="G72" s="239"/>
      <c r="H72" s="230"/>
      <c r="I72" s="230"/>
      <c r="J72" s="230"/>
    </row>
    <row r="73" spans="1:10">
      <c r="A73" s="171"/>
      <c r="B73" s="171"/>
      <c r="C73" s="171"/>
      <c r="D73" s="171"/>
      <c r="E73" s="171"/>
      <c r="F73" s="171"/>
      <c r="G73" s="240"/>
      <c r="H73" s="235"/>
      <c r="I73" s="235"/>
      <c r="J73" s="235"/>
    </row>
    <row r="74" spans="1:10">
      <c r="A74" s="171"/>
      <c r="B74" s="171"/>
      <c r="C74" s="212" t="s">
        <v>548</v>
      </c>
      <c r="D74" s="171"/>
      <c r="E74" s="171"/>
      <c r="F74" s="171"/>
      <c r="G74" s="241"/>
      <c r="H74" s="235"/>
      <c r="I74" s="235"/>
      <c r="J74" s="235"/>
    </row>
    <row r="75" spans="1:10">
      <c r="A75" s="171"/>
      <c r="B75" s="171"/>
      <c r="C75" s="171"/>
      <c r="D75" s="171"/>
      <c r="E75" s="171"/>
      <c r="F75" s="171"/>
      <c r="G75" s="241"/>
      <c r="H75" s="235"/>
      <c r="I75" s="235"/>
      <c r="J75" s="235"/>
    </row>
    <row r="76" spans="1:10">
      <c r="A76" s="171"/>
      <c r="B76" s="171"/>
      <c r="C76" s="213" t="s">
        <v>549</v>
      </c>
      <c r="D76" s="171"/>
      <c r="E76" s="171"/>
      <c r="F76" s="171"/>
      <c r="G76" s="241"/>
      <c r="H76" s="230"/>
      <c r="I76" s="230"/>
      <c r="J76" s="235"/>
    </row>
    <row r="77" spans="1:10">
      <c r="A77" s="171"/>
      <c r="B77" s="171"/>
      <c r="C77" s="171"/>
      <c r="D77" s="171" t="s">
        <v>585</v>
      </c>
      <c r="E77" s="171"/>
      <c r="F77" s="171"/>
      <c r="G77" s="241"/>
      <c r="H77" s="235"/>
      <c r="I77" s="235"/>
      <c r="J77" s="235"/>
    </row>
    <row r="78" spans="1:10">
      <c r="A78" s="171"/>
      <c r="B78" s="171"/>
      <c r="C78" s="171"/>
      <c r="D78" s="171"/>
      <c r="E78" s="171"/>
      <c r="F78" s="171"/>
      <c r="G78" s="241"/>
      <c r="H78" s="235"/>
      <c r="I78" s="235"/>
      <c r="J78" s="235"/>
    </row>
    <row r="79" spans="1:10">
      <c r="A79" s="186" t="s">
        <v>487</v>
      </c>
      <c r="B79" s="171" t="s">
        <v>523</v>
      </c>
      <c r="C79" s="171"/>
      <c r="D79" s="171"/>
      <c r="E79" s="171"/>
      <c r="F79" s="171"/>
      <c r="G79" s="241"/>
      <c r="H79" s="235"/>
      <c r="I79" s="235"/>
      <c r="J79" s="235"/>
    </row>
    <row r="80" spans="1:10">
      <c r="A80" s="186" t="s">
        <v>488</v>
      </c>
      <c r="B80" s="171" t="s">
        <v>524</v>
      </c>
      <c r="C80" s="171"/>
      <c r="D80" s="171"/>
      <c r="E80" s="171"/>
      <c r="F80" s="171"/>
      <c r="G80" s="241"/>
      <c r="H80" s="235"/>
      <c r="I80" s="235"/>
      <c r="J80" s="235"/>
    </row>
    <row r="81" spans="1:10">
      <c r="A81" s="186" t="s">
        <v>489</v>
      </c>
      <c r="B81" s="171" t="s">
        <v>525</v>
      </c>
      <c r="C81" s="171"/>
      <c r="D81" s="171"/>
      <c r="E81" s="171"/>
      <c r="F81" s="171"/>
      <c r="G81" s="241"/>
      <c r="H81" s="235"/>
      <c r="I81" s="235"/>
      <c r="J81" s="235"/>
    </row>
    <row r="82" spans="1:10">
      <c r="A82" s="186" t="s">
        <v>490</v>
      </c>
      <c r="B82" s="171" t="s">
        <v>526</v>
      </c>
      <c r="C82" s="171"/>
      <c r="D82" s="171"/>
      <c r="E82" s="171"/>
      <c r="F82" s="171"/>
      <c r="G82" s="241"/>
      <c r="H82" s="235"/>
      <c r="I82" s="235"/>
      <c r="J82" s="235"/>
    </row>
    <row r="83" spans="1:10">
      <c r="A83" s="186" t="s">
        <v>491</v>
      </c>
      <c r="B83" s="171" t="s">
        <v>527</v>
      </c>
      <c r="C83" s="171"/>
      <c r="D83" s="171"/>
      <c r="E83" s="171"/>
      <c r="F83" s="171"/>
      <c r="G83" s="241"/>
      <c r="H83" s="235"/>
      <c r="I83" s="235"/>
      <c r="J83" s="235"/>
    </row>
    <row r="84" spans="1:10">
      <c r="A84" s="186"/>
      <c r="B84" s="171"/>
      <c r="C84" s="171"/>
      <c r="D84" s="171"/>
      <c r="E84" s="171"/>
      <c r="F84" s="171"/>
      <c r="G84" s="241"/>
      <c r="H84" s="235"/>
      <c r="I84" s="235"/>
      <c r="J84" s="235"/>
    </row>
    <row r="85" spans="1:10" ht="15.75">
      <c r="A85" s="181" t="s">
        <v>492</v>
      </c>
      <c r="B85" s="171" t="s">
        <v>528</v>
      </c>
      <c r="C85" s="171"/>
      <c r="D85" s="216"/>
      <c r="E85" s="171"/>
      <c r="F85" s="171"/>
      <c r="G85" s="241"/>
      <c r="H85" s="235"/>
      <c r="I85" s="235"/>
      <c r="J85" s="235"/>
    </row>
    <row r="86" spans="1:10" ht="15.75">
      <c r="A86" s="187" t="s">
        <v>493</v>
      </c>
      <c r="B86" s="171" t="s">
        <v>529</v>
      </c>
      <c r="C86" s="171"/>
      <c r="D86" s="216"/>
      <c r="E86" s="171"/>
      <c r="F86" s="171"/>
      <c r="G86" s="241"/>
      <c r="H86" s="235"/>
      <c r="I86" s="235"/>
      <c r="J86" s="235"/>
    </row>
    <row r="87" spans="1:10" ht="15.75">
      <c r="A87" s="171"/>
      <c r="B87" s="171"/>
      <c r="C87" s="171"/>
      <c r="D87" s="216"/>
      <c r="E87" s="171"/>
      <c r="F87" s="171"/>
      <c r="G87" s="241"/>
      <c r="H87" s="235"/>
      <c r="I87" s="235"/>
      <c r="J87" s="235"/>
    </row>
    <row r="88" spans="1:10">
      <c r="A88" s="181" t="s">
        <v>494</v>
      </c>
      <c r="B88" s="171" t="s">
        <v>530</v>
      </c>
      <c r="C88" s="171"/>
      <c r="D88" s="171"/>
      <c r="E88" s="171"/>
      <c r="F88" s="171"/>
      <c r="G88" s="241"/>
      <c r="H88" s="235"/>
      <c r="I88" s="235"/>
      <c r="J88" s="235"/>
    </row>
    <row r="89" spans="1:10">
      <c r="A89" s="188"/>
      <c r="B89" s="188"/>
      <c r="C89" s="188"/>
      <c r="D89" s="188"/>
      <c r="E89" s="188"/>
      <c r="F89" s="188"/>
      <c r="G89" s="242"/>
      <c r="H89" s="235"/>
      <c r="I89" s="235"/>
      <c r="J89" s="235"/>
    </row>
    <row r="90" spans="1:10" ht="15.75">
      <c r="A90" s="189" t="s">
        <v>495</v>
      </c>
      <c r="B90" s="189" t="s">
        <v>531</v>
      </c>
      <c r="C90" s="189" t="s">
        <v>550</v>
      </c>
      <c r="D90" s="217" t="s">
        <v>586</v>
      </c>
      <c r="E90" s="189" t="s">
        <v>596</v>
      </c>
      <c r="F90" s="226" t="s">
        <v>120</v>
      </c>
      <c r="G90" s="243"/>
      <c r="H90" s="236"/>
      <c r="I90" s="236"/>
      <c r="J90" s="236"/>
    </row>
    <row r="91" spans="1:10" ht="15.75">
      <c r="A91" s="190">
        <f>C23</f>
        <v>0.3</v>
      </c>
      <c r="B91" s="190">
        <f>C24</f>
        <v>0.3</v>
      </c>
      <c r="C91" s="190">
        <f>D38</f>
        <v>0.4</v>
      </c>
      <c r="D91" s="190">
        <f>C17*1000</f>
        <v>200</v>
      </c>
      <c r="E91" s="222">
        <f>(2*C91+A91+B91)*2</f>
        <v>2.8000000000000003</v>
      </c>
      <c r="F91" s="673" t="str">
        <f>+IF(1.2*D93&gt;=E93,"Vérifiéé","Non vérifiée")</f>
        <v>Vérifiéé</v>
      </c>
      <c r="G91" s="244"/>
      <c r="H91" s="237"/>
      <c r="I91" s="237"/>
      <c r="J91" s="238"/>
    </row>
    <row r="92" spans="1:10" ht="15.75">
      <c r="A92" s="189" t="s">
        <v>496</v>
      </c>
      <c r="B92" s="189" t="s">
        <v>532</v>
      </c>
      <c r="C92" s="189" t="s">
        <v>551</v>
      </c>
      <c r="D92" s="189" t="s">
        <v>587</v>
      </c>
      <c r="E92" s="189" t="s">
        <v>254</v>
      </c>
      <c r="F92" s="674"/>
      <c r="G92" s="243"/>
      <c r="H92" s="235"/>
      <c r="I92" s="235"/>
      <c r="J92" s="235"/>
    </row>
    <row r="93" spans="1:10">
      <c r="A93" s="191">
        <f>(A91+C91)*(B91+C91)*D91</f>
        <v>97.999999999999986</v>
      </c>
      <c r="B93" s="201">
        <f>C6*10</f>
        <v>598.28</v>
      </c>
      <c r="C93" s="201">
        <f>C28*1000</f>
        <v>2100</v>
      </c>
      <c r="D93" s="218">
        <f>C93*1.2</f>
        <v>2520</v>
      </c>
      <c r="E93" s="218">
        <f>+(1.5*(B93-A93)/(E91*C91))</f>
        <v>670.017857142857</v>
      </c>
      <c r="F93" s="675"/>
      <c r="G93" s="242"/>
      <c r="H93" s="235"/>
      <c r="I93" s="235"/>
      <c r="J93" s="235"/>
    </row>
    <row r="94" spans="1:10">
      <c r="A94" s="164"/>
      <c r="B94" s="164"/>
      <c r="C94" s="164"/>
      <c r="D94" s="164"/>
      <c r="E94" s="164"/>
      <c r="F94" s="164"/>
      <c r="G94" s="239"/>
      <c r="H94" s="230"/>
      <c r="I94" s="230"/>
      <c r="J94" s="230"/>
    </row>
    <row r="95" spans="1:10">
      <c r="A95" s="164"/>
      <c r="B95" s="164"/>
      <c r="C95" s="164"/>
      <c r="D95" s="180" t="s">
        <v>588</v>
      </c>
      <c r="E95" s="164"/>
      <c r="F95" s="164"/>
      <c r="G95" s="166"/>
      <c r="H95" s="230"/>
      <c r="I95" s="230"/>
      <c r="J95" s="230"/>
    </row>
    <row r="96" spans="1:10">
      <c r="A96" s="164"/>
      <c r="B96" s="164"/>
      <c r="C96" s="214" t="s">
        <v>167</v>
      </c>
      <c r="D96" s="164"/>
      <c r="E96" s="197"/>
      <c r="F96" s="214" t="s">
        <v>597</v>
      </c>
      <c r="G96" s="166"/>
      <c r="H96" s="230"/>
      <c r="I96" s="230"/>
      <c r="J96" s="230"/>
    </row>
    <row r="97" spans="1:10">
      <c r="A97" s="164"/>
      <c r="B97" s="168" t="s">
        <v>533</v>
      </c>
      <c r="C97" s="176">
        <f>MAX(ABS(C6),D42)*(D34-C24)*100/(8*(D38-C25)*C18)</f>
        <v>7.9819786535303781</v>
      </c>
      <c r="D97" s="164"/>
      <c r="E97" s="168" t="s">
        <v>533</v>
      </c>
      <c r="F97" s="176">
        <f>MAX(ABS(C5),D42)*(D34-C24)*100/(8*(D38-C25)*C27)</f>
        <v>11.469254224693637</v>
      </c>
      <c r="G97" s="166"/>
      <c r="H97" s="230"/>
      <c r="I97" s="230"/>
      <c r="J97" s="230"/>
    </row>
    <row r="98" spans="1:10">
      <c r="A98" s="164"/>
      <c r="B98" s="168" t="s">
        <v>534</v>
      </c>
      <c r="C98" s="176">
        <f>MAX(ABS(C6),D42)*(D36-C23)*100/(8*(D38-C25)*C18)</f>
        <v>7.9819786535303781</v>
      </c>
      <c r="D98" s="164"/>
      <c r="E98" s="168" t="s">
        <v>534</v>
      </c>
      <c r="F98" s="176">
        <f>MAX(ABS(C5),D42)*(D36-C23)*100/(8*(D38-C25)*C27)</f>
        <v>11.469254224693637</v>
      </c>
      <c r="G98" s="166"/>
      <c r="H98" s="230"/>
      <c r="I98" s="230"/>
      <c r="J98" s="230"/>
    </row>
    <row r="99" spans="1:10">
      <c r="A99" s="164"/>
      <c r="B99" s="164"/>
      <c r="C99" s="164"/>
      <c r="D99" s="164"/>
      <c r="E99" s="164"/>
      <c r="F99" s="164"/>
      <c r="G99" s="166"/>
      <c r="H99" s="230"/>
      <c r="I99" s="230"/>
      <c r="J99" s="230"/>
    </row>
    <row r="100" spans="1:10">
      <c r="A100" s="164"/>
      <c r="B100" s="202" t="s">
        <v>535</v>
      </c>
      <c r="C100" s="164"/>
      <c r="D100" s="164"/>
      <c r="E100" s="164"/>
      <c r="F100" s="164"/>
      <c r="G100" s="166"/>
      <c r="H100" s="230"/>
      <c r="I100" s="230"/>
      <c r="J100" s="230"/>
    </row>
    <row r="101" spans="1:10">
      <c r="A101" s="164"/>
      <c r="B101" s="203"/>
      <c r="C101" s="164"/>
      <c r="D101" s="203"/>
      <c r="E101" s="171"/>
      <c r="F101" s="164"/>
      <c r="G101" s="166"/>
      <c r="H101" s="230"/>
      <c r="I101" s="230"/>
      <c r="J101" s="230"/>
    </row>
    <row r="102" spans="1:10">
      <c r="A102" s="164"/>
      <c r="B102" s="164"/>
      <c r="C102" s="180" t="s">
        <v>552</v>
      </c>
      <c r="D102" s="193"/>
      <c r="E102" s="164"/>
      <c r="F102" s="164"/>
      <c r="G102" s="166"/>
      <c r="H102" s="230"/>
      <c r="I102" s="230"/>
      <c r="J102" s="230"/>
    </row>
    <row r="103" spans="1:10">
      <c r="A103" s="164"/>
      <c r="B103" s="164"/>
      <c r="C103" s="164"/>
      <c r="D103" s="164"/>
      <c r="E103" s="164"/>
      <c r="F103" s="164"/>
      <c r="G103" s="166"/>
      <c r="H103" s="230"/>
      <c r="I103" s="230"/>
      <c r="J103" s="230"/>
    </row>
    <row r="104" spans="1:10">
      <c r="A104" s="164"/>
      <c r="B104" s="164"/>
      <c r="C104" s="168" t="s">
        <v>553</v>
      </c>
      <c r="D104" s="169">
        <v>14</v>
      </c>
      <c r="E104" s="164"/>
      <c r="F104" s="164"/>
      <c r="G104" s="166"/>
      <c r="H104" s="230"/>
      <c r="I104" s="230"/>
      <c r="J104" s="230"/>
    </row>
    <row r="105" spans="1:10">
      <c r="A105" s="164"/>
      <c r="B105" s="164"/>
      <c r="C105" s="168" t="s">
        <v>554</v>
      </c>
      <c r="D105" s="176">
        <f>0.6*C21^2*C28</f>
        <v>2.835</v>
      </c>
      <c r="E105" s="164"/>
      <c r="F105" s="164"/>
      <c r="G105" s="166"/>
      <c r="H105" s="230"/>
      <c r="I105" s="230"/>
      <c r="J105" s="230"/>
    </row>
    <row r="106" spans="1:10">
      <c r="A106" s="164"/>
      <c r="B106" s="164"/>
      <c r="C106" s="168" t="s">
        <v>555</v>
      </c>
      <c r="D106" s="176">
        <f>C19*D104*0.001/(4*D105)</f>
        <v>0.49382716049382719</v>
      </c>
      <c r="E106" s="164"/>
      <c r="F106" s="164"/>
      <c r="G106" s="166"/>
      <c r="H106" s="230"/>
      <c r="I106" s="230"/>
      <c r="J106" s="230"/>
    </row>
    <row r="107" spans="1:10">
      <c r="A107" s="164"/>
      <c r="B107" s="164"/>
      <c r="C107" s="164"/>
      <c r="D107" s="164"/>
      <c r="E107" s="164"/>
      <c r="F107" s="164"/>
      <c r="G107" s="166"/>
      <c r="H107" s="230"/>
      <c r="I107" s="230"/>
      <c r="J107" s="230"/>
    </row>
    <row r="108" spans="1:10">
      <c r="A108" s="164"/>
      <c r="B108" s="170"/>
      <c r="C108" s="170" t="s">
        <v>556</v>
      </c>
      <c r="D108" s="164"/>
      <c r="E108" s="164"/>
      <c r="F108" s="164"/>
      <c r="G108" s="166"/>
      <c r="H108" s="230"/>
      <c r="I108" s="230"/>
      <c r="J108" s="230"/>
    </row>
    <row r="109" spans="1:10">
      <c r="A109" s="164"/>
      <c r="B109" s="204"/>
      <c r="C109" s="180" t="s">
        <v>557</v>
      </c>
      <c r="D109" s="164"/>
      <c r="E109" s="164"/>
      <c r="F109" s="164"/>
      <c r="G109" s="166"/>
      <c r="H109" s="230"/>
      <c r="I109" s="230"/>
      <c r="J109" s="230"/>
    </row>
    <row r="110" spans="1:10">
      <c r="A110" s="164"/>
      <c r="B110" s="164"/>
      <c r="C110" s="164"/>
      <c r="D110" s="164"/>
      <c r="E110" s="164"/>
      <c r="F110" s="164"/>
      <c r="G110" s="166"/>
      <c r="H110" s="230"/>
      <c r="I110" s="230"/>
      <c r="J110" s="230"/>
    </row>
    <row r="111" spans="1:10">
      <c r="A111" s="192" t="str">
        <f>IF(D106&gt;(0.25*D36),"Les barres doivent êtres jusqu'aux extrimitées et comportées des ancrages courbes",IF(D106&gt;(0.125*D34),IF(D106&lt;=(0.25*D34),"Les barres sont prolongées jusqu'aux extrimitées mais peuvent êtres droites",IF(D106&lt;=(0.125*D34),"Les barres doivent êtres droites, et on peut arreter une barre sur deux à une longueur égale à 0,71B, ou altérner des barres de 0,86B"))))</f>
        <v>Les barres doivent êtres jusqu'aux extrimitées et comportées des ancrages courbes</v>
      </c>
      <c r="B111" s="164"/>
      <c r="C111" s="164"/>
      <c r="D111" s="164"/>
      <c r="E111" s="164"/>
      <c r="F111" s="164"/>
      <c r="G111" s="166"/>
      <c r="H111" s="230"/>
      <c r="I111" s="230"/>
      <c r="J111" s="230"/>
    </row>
    <row r="112" spans="1:10" ht="15.75" thickBot="1">
      <c r="A112" s="177"/>
      <c r="B112" s="178"/>
      <c r="C112" s="178"/>
      <c r="D112" s="178"/>
      <c r="E112" s="178"/>
      <c r="F112" s="178"/>
      <c r="G112" s="179"/>
      <c r="H112" s="230"/>
      <c r="I112" s="230"/>
      <c r="J112" s="230"/>
    </row>
    <row r="113" spans="1:9" ht="16.5" thickTop="1" thickBot="1"/>
    <row r="114" spans="1:9" ht="20.25" thickTop="1" thickBot="1">
      <c r="A114" s="160" t="s">
        <v>607</v>
      </c>
      <c r="B114" s="161"/>
      <c r="C114" s="162"/>
      <c r="D114" s="162"/>
      <c r="E114" s="162"/>
      <c r="F114" s="162"/>
      <c r="G114" s="163"/>
      <c r="H114" s="230"/>
      <c r="I114" s="231" t="s">
        <v>598</v>
      </c>
    </row>
    <row r="115" spans="1:9" ht="16.5" thickTop="1" thickBot="1">
      <c r="A115" s="164"/>
      <c r="B115" s="164"/>
      <c r="C115" s="164"/>
      <c r="D115" s="165" t="s">
        <v>558</v>
      </c>
      <c r="E115" s="164"/>
      <c r="F115" s="164"/>
      <c r="G115" s="166"/>
      <c r="H115" s="232" t="s">
        <v>599</v>
      </c>
      <c r="I115" s="233">
        <v>198.42</v>
      </c>
    </row>
    <row r="116" spans="1:9" ht="17.25" thickTop="1" thickBot="1">
      <c r="A116" s="164"/>
      <c r="B116" s="167" t="s">
        <v>497</v>
      </c>
      <c r="C116" s="164"/>
      <c r="D116" s="165" t="s">
        <v>559</v>
      </c>
      <c r="E116" s="164"/>
      <c r="F116" s="164"/>
      <c r="G116" s="166"/>
      <c r="H116" s="232" t="s">
        <v>488</v>
      </c>
      <c r="I116" s="233">
        <v>270.38</v>
      </c>
    </row>
    <row r="117" spans="1:9" ht="16.5" thickTop="1" thickBot="1">
      <c r="A117" s="164"/>
      <c r="B117" s="168"/>
      <c r="C117" s="164"/>
      <c r="D117" s="164"/>
      <c r="E117" s="164"/>
      <c r="F117" s="164"/>
      <c r="G117" s="166"/>
      <c r="H117" s="232" t="s">
        <v>600</v>
      </c>
      <c r="I117" s="233">
        <v>0.66100000000000003</v>
      </c>
    </row>
    <row r="118" spans="1:9" ht="16.5" thickTop="1" thickBot="1">
      <c r="A118" s="164"/>
      <c r="B118" s="168" t="s">
        <v>498</v>
      </c>
      <c r="C118" s="169">
        <f>I115*0.1</f>
        <v>19.841999999999999</v>
      </c>
      <c r="D118" s="170" t="s">
        <v>560</v>
      </c>
      <c r="E118" s="164"/>
      <c r="F118" s="164"/>
      <c r="G118" s="166"/>
      <c r="H118" s="232" t="s">
        <v>601</v>
      </c>
      <c r="I118" s="233">
        <v>167.02</v>
      </c>
    </row>
    <row r="119" spans="1:9" ht="16.5" thickTop="1" thickBot="1">
      <c r="A119" s="164"/>
      <c r="B119" s="168" t="s">
        <v>499</v>
      </c>
      <c r="C119" s="169">
        <f>I116*0.1</f>
        <v>27.038</v>
      </c>
      <c r="D119" s="170" t="s">
        <v>561</v>
      </c>
      <c r="E119" s="164"/>
      <c r="F119" s="164"/>
      <c r="G119" s="166"/>
      <c r="H119" s="232" t="s">
        <v>602</v>
      </c>
      <c r="I119" s="233">
        <v>11.222</v>
      </c>
    </row>
    <row r="120" spans="1:9" ht="16.5" thickTop="1" thickBot="1">
      <c r="A120" s="164"/>
      <c r="B120" s="168" t="s">
        <v>500</v>
      </c>
      <c r="C120" s="169">
        <f>J117*0.1</f>
        <v>0</v>
      </c>
      <c r="D120" s="170" t="s">
        <v>562</v>
      </c>
      <c r="E120" s="171" t="s">
        <v>589</v>
      </c>
      <c r="F120" s="164"/>
      <c r="G120" s="166"/>
      <c r="H120" s="232" t="s">
        <v>603</v>
      </c>
      <c r="I120" s="233">
        <v>220.06</v>
      </c>
    </row>
    <row r="121" spans="1:9" ht="16.5" thickTop="1" thickBot="1">
      <c r="A121" s="164"/>
      <c r="B121" s="168" t="s">
        <v>501</v>
      </c>
      <c r="C121" s="169">
        <f>I117*0.1</f>
        <v>6.6100000000000006E-2</v>
      </c>
      <c r="D121" s="170" t="s">
        <v>563</v>
      </c>
      <c r="E121" s="164"/>
      <c r="F121" s="164"/>
      <c r="G121" s="166"/>
      <c r="H121" s="232" t="s">
        <v>604</v>
      </c>
      <c r="I121" s="233">
        <v>11.417</v>
      </c>
    </row>
    <row r="122" spans="1:9" ht="15.75" thickTop="1">
      <c r="A122" s="164"/>
      <c r="B122" s="168" t="s">
        <v>502</v>
      </c>
      <c r="C122" s="169">
        <f>I118*0.1</f>
        <v>16.702000000000002</v>
      </c>
      <c r="D122" s="170" t="s">
        <v>564</v>
      </c>
      <c r="E122" s="164"/>
      <c r="F122" s="164"/>
      <c r="G122" s="164"/>
      <c r="H122" s="234"/>
      <c r="I122" s="234"/>
    </row>
    <row r="123" spans="1:9">
      <c r="A123" s="164"/>
      <c r="B123" s="168" t="s">
        <v>503</v>
      </c>
      <c r="C123" s="169">
        <f>J118*0.1</f>
        <v>0</v>
      </c>
      <c r="D123" s="170" t="s">
        <v>565</v>
      </c>
      <c r="E123" s="164"/>
      <c r="F123" s="164"/>
      <c r="G123" s="164"/>
      <c r="H123" s="230"/>
      <c r="I123" s="230"/>
    </row>
    <row r="124" spans="1:9">
      <c r="A124" s="164"/>
      <c r="B124" s="168" t="s">
        <v>504</v>
      </c>
      <c r="C124" s="169">
        <f>J119*0.1</f>
        <v>0</v>
      </c>
      <c r="D124" s="170" t="s">
        <v>566</v>
      </c>
      <c r="E124" s="164"/>
      <c r="F124" s="164"/>
      <c r="G124" s="164"/>
      <c r="H124" s="230"/>
      <c r="I124" s="230"/>
    </row>
    <row r="125" spans="1:9">
      <c r="A125" s="164"/>
      <c r="B125" s="168" t="s">
        <v>505</v>
      </c>
      <c r="C125" s="169">
        <f>I119*0.1</f>
        <v>1.1222000000000001</v>
      </c>
      <c r="D125" s="170" t="s">
        <v>567</v>
      </c>
      <c r="E125" s="164"/>
      <c r="F125" s="164"/>
      <c r="G125" s="164"/>
      <c r="H125" s="230"/>
      <c r="I125" s="230"/>
    </row>
    <row r="126" spans="1:9">
      <c r="A126" s="164"/>
      <c r="B126" s="168" t="s">
        <v>506</v>
      </c>
      <c r="C126" s="169">
        <f>I120*0.1</f>
        <v>22.006</v>
      </c>
      <c r="D126" s="170" t="s">
        <v>568</v>
      </c>
      <c r="E126" s="164"/>
      <c r="F126" s="164"/>
      <c r="G126" s="164"/>
      <c r="H126" s="230"/>
      <c r="I126" s="230"/>
    </row>
    <row r="127" spans="1:9">
      <c r="A127" s="164"/>
      <c r="B127" s="168" t="s">
        <v>507</v>
      </c>
      <c r="C127" s="169">
        <f>J120*0.1</f>
        <v>0</v>
      </c>
      <c r="D127" s="170" t="s">
        <v>569</v>
      </c>
      <c r="E127" s="164"/>
      <c r="F127" s="164"/>
      <c r="G127" s="164"/>
      <c r="H127" s="230"/>
      <c r="I127" s="230"/>
    </row>
    <row r="128" spans="1:9">
      <c r="A128" s="164"/>
      <c r="B128" s="168" t="s">
        <v>508</v>
      </c>
      <c r="C128" s="169">
        <f>J121*0.1</f>
        <v>0</v>
      </c>
      <c r="D128" s="170" t="s">
        <v>570</v>
      </c>
      <c r="E128" s="164"/>
      <c r="F128" s="164"/>
      <c r="G128" s="164"/>
      <c r="H128" s="230"/>
      <c r="I128" s="230"/>
    </row>
    <row r="129" spans="1:9">
      <c r="A129" s="164"/>
      <c r="B129" s="168" t="s">
        <v>509</v>
      </c>
      <c r="C129" s="169">
        <f>I121*0.1</f>
        <v>1.1416999999999999</v>
      </c>
      <c r="D129" s="170" t="s">
        <v>571</v>
      </c>
      <c r="E129" s="164"/>
      <c r="F129" s="164"/>
      <c r="G129" s="164"/>
      <c r="H129" s="230"/>
      <c r="I129" s="230"/>
    </row>
    <row r="130" spans="1:9">
      <c r="A130" s="164"/>
      <c r="B130" s="172" t="s">
        <v>510</v>
      </c>
      <c r="C130" s="169">
        <v>0.2</v>
      </c>
      <c r="D130" s="173" t="s">
        <v>572</v>
      </c>
      <c r="E130" s="164"/>
      <c r="F130" s="164"/>
      <c r="G130" s="164"/>
      <c r="H130" s="230"/>
      <c r="I130" s="230"/>
    </row>
    <row r="131" spans="1:9">
      <c r="A131" s="164"/>
      <c r="B131" s="172" t="s">
        <v>511</v>
      </c>
      <c r="C131" s="169">
        <v>348</v>
      </c>
      <c r="D131" s="173" t="s">
        <v>573</v>
      </c>
      <c r="E131" s="164"/>
      <c r="F131" s="164"/>
      <c r="G131" s="164"/>
      <c r="H131" s="230"/>
      <c r="I131" s="230"/>
    </row>
    <row r="132" spans="1:9">
      <c r="A132" s="164"/>
      <c r="B132" s="168" t="s">
        <v>512</v>
      </c>
      <c r="C132" s="169">
        <v>400</v>
      </c>
      <c r="D132" s="173" t="s">
        <v>574</v>
      </c>
      <c r="E132" s="164"/>
      <c r="F132" s="164"/>
      <c r="G132" s="164"/>
      <c r="H132" s="230"/>
      <c r="I132" s="230"/>
    </row>
    <row r="133" spans="1:9">
      <c r="A133" s="164"/>
      <c r="B133" s="168" t="s">
        <v>513</v>
      </c>
      <c r="C133" s="169">
        <v>25</v>
      </c>
      <c r="D133" s="173" t="s">
        <v>575</v>
      </c>
      <c r="E133" s="164"/>
      <c r="F133" s="164"/>
      <c r="G133" s="166"/>
      <c r="H133" s="230"/>
      <c r="I133" s="230"/>
    </row>
    <row r="134" spans="1:9">
      <c r="A134" s="164"/>
      <c r="B134" s="172" t="s">
        <v>514</v>
      </c>
      <c r="C134" s="169">
        <v>1.5</v>
      </c>
      <c r="D134" s="173" t="s">
        <v>576</v>
      </c>
      <c r="E134" s="164"/>
      <c r="F134" s="164"/>
      <c r="G134" s="166"/>
      <c r="H134" s="230"/>
      <c r="I134" s="230"/>
    </row>
    <row r="135" spans="1:9">
      <c r="A135" s="164"/>
      <c r="B135" s="174" t="s">
        <v>515</v>
      </c>
      <c r="C135" s="169">
        <v>1.6</v>
      </c>
      <c r="D135" s="173" t="s">
        <v>577</v>
      </c>
      <c r="E135" s="164"/>
      <c r="F135" s="164"/>
      <c r="G135" s="166"/>
      <c r="H135" s="230"/>
      <c r="I135" s="230"/>
    </row>
    <row r="136" spans="1:9">
      <c r="A136" s="164"/>
      <c r="B136" s="168" t="s">
        <v>516</v>
      </c>
      <c r="C136" s="169">
        <v>0.3</v>
      </c>
      <c r="D136" s="173" t="s">
        <v>578</v>
      </c>
      <c r="E136" s="164"/>
      <c r="F136" s="164"/>
      <c r="G136" s="166"/>
      <c r="H136" s="230"/>
      <c r="I136" s="230"/>
    </row>
    <row r="137" spans="1:9">
      <c r="A137" s="164"/>
      <c r="B137" s="168" t="s">
        <v>517</v>
      </c>
      <c r="C137" s="169">
        <v>0.3</v>
      </c>
      <c r="D137" s="173" t="s">
        <v>579</v>
      </c>
      <c r="E137" s="164"/>
      <c r="F137" s="164"/>
      <c r="G137" s="166"/>
      <c r="H137" s="230"/>
      <c r="I137" s="230"/>
    </row>
    <row r="138" spans="1:9">
      <c r="A138" s="164"/>
      <c r="B138" s="168" t="s">
        <v>518</v>
      </c>
      <c r="C138" s="169">
        <v>0.05</v>
      </c>
      <c r="D138" s="173" t="s">
        <v>580</v>
      </c>
      <c r="E138" s="164"/>
      <c r="F138" s="164"/>
      <c r="G138" s="166"/>
      <c r="H138" s="230"/>
      <c r="I138" s="230"/>
    </row>
    <row r="139" spans="1:9">
      <c r="A139" s="164"/>
      <c r="B139" s="168" t="s">
        <v>519</v>
      </c>
      <c r="C139" s="169">
        <v>0.7</v>
      </c>
      <c r="D139" s="173" t="s">
        <v>581</v>
      </c>
      <c r="E139" s="164"/>
      <c r="F139" s="164"/>
      <c r="G139" s="166"/>
      <c r="H139" s="230"/>
      <c r="I139" s="230"/>
    </row>
    <row r="140" spans="1:9">
      <c r="A140" s="175"/>
      <c r="B140" s="172" t="s">
        <v>511</v>
      </c>
      <c r="C140" s="176">
        <f>MIN((2*C132/3),(110*SQRT(C135*C141)))</f>
        <v>201.63333057805698</v>
      </c>
      <c r="D140" s="173" t="s">
        <v>582</v>
      </c>
      <c r="E140" s="164"/>
      <c r="F140" s="164"/>
      <c r="G140" s="166"/>
      <c r="H140" s="230"/>
      <c r="I140" s="230"/>
    </row>
    <row r="141" spans="1:9">
      <c r="A141" s="164"/>
      <c r="B141" s="168" t="s">
        <v>520</v>
      </c>
      <c r="C141" s="176">
        <f>0.6+0.06*C133</f>
        <v>2.1</v>
      </c>
      <c r="D141" s="173" t="s">
        <v>583</v>
      </c>
      <c r="E141" s="164"/>
      <c r="F141" s="164"/>
      <c r="G141" s="166"/>
      <c r="H141" s="230"/>
      <c r="I141" s="230"/>
    </row>
    <row r="142" spans="1:9" ht="15.75" thickBot="1">
      <c r="A142" s="177"/>
      <c r="B142" s="178"/>
      <c r="C142" s="178"/>
      <c r="D142" s="178"/>
      <c r="E142" s="178"/>
      <c r="F142" s="178"/>
      <c r="G142" s="179"/>
      <c r="H142" s="230"/>
      <c r="I142" s="230"/>
    </row>
    <row r="143" spans="1:9" ht="15.75" thickTop="1">
      <c r="A143" s="164"/>
      <c r="B143" s="164"/>
      <c r="C143" s="164"/>
      <c r="D143" s="164"/>
      <c r="E143" s="164"/>
      <c r="F143" s="164"/>
      <c r="G143" s="166"/>
      <c r="H143" s="230"/>
      <c r="I143" s="230"/>
    </row>
    <row r="144" spans="1:9">
      <c r="A144" s="164"/>
      <c r="B144" s="164"/>
      <c r="C144" s="164"/>
      <c r="D144" s="180" t="s">
        <v>584</v>
      </c>
      <c r="E144" s="164"/>
      <c r="F144" s="164"/>
      <c r="G144" s="166"/>
      <c r="H144" s="230"/>
      <c r="I144" s="230"/>
    </row>
    <row r="145" spans="1:9">
      <c r="A145" s="164"/>
      <c r="B145" s="164"/>
      <c r="C145" s="164"/>
      <c r="D145" s="164"/>
      <c r="E145" s="164"/>
      <c r="F145" s="164"/>
      <c r="G145" s="166"/>
      <c r="H145" s="230"/>
      <c r="I145" s="230"/>
    </row>
    <row r="146" spans="1:9">
      <c r="A146" s="164"/>
      <c r="B146" s="164"/>
      <c r="C146" s="168" t="s">
        <v>536</v>
      </c>
      <c r="D146" s="176">
        <f>SQRT(C118*C137*0.01/(C130*C136))</f>
        <v>0.99604216778206733</v>
      </c>
      <c r="E146" s="170" t="s">
        <v>590</v>
      </c>
      <c r="F146" s="164"/>
      <c r="G146" s="166"/>
      <c r="H146" s="230"/>
      <c r="I146" s="230"/>
    </row>
    <row r="147" spans="1:9">
      <c r="A147" s="164"/>
      <c r="B147" s="164"/>
      <c r="C147" s="168" t="s">
        <v>537</v>
      </c>
      <c r="D147" s="169">
        <v>1.2</v>
      </c>
      <c r="E147" s="164"/>
      <c r="F147" s="164"/>
      <c r="G147" s="166"/>
      <c r="H147" s="230"/>
      <c r="I147" s="230"/>
    </row>
    <row r="148" spans="1:9">
      <c r="A148" s="164"/>
      <c r="B148" s="164"/>
      <c r="C148" s="168" t="s">
        <v>538</v>
      </c>
      <c r="D148" s="176">
        <f>C136*D146/C137</f>
        <v>0.99604216778206733</v>
      </c>
      <c r="E148" s="170" t="s">
        <v>591</v>
      </c>
      <c r="F148" s="164"/>
      <c r="G148" s="166"/>
      <c r="H148" s="230"/>
      <c r="I148" s="230"/>
    </row>
    <row r="149" spans="1:9">
      <c r="A149" s="164"/>
      <c r="B149" s="164"/>
      <c r="C149" s="168" t="s">
        <v>539</v>
      </c>
      <c r="D149" s="169">
        <v>1.2</v>
      </c>
      <c r="E149" s="164"/>
      <c r="F149" s="164"/>
      <c r="G149" s="166"/>
      <c r="H149" s="230"/>
      <c r="I149" s="230"/>
    </row>
    <row r="150" spans="1:9">
      <c r="A150" s="164"/>
      <c r="B150" s="164"/>
      <c r="C150" s="168" t="s">
        <v>540</v>
      </c>
      <c r="D150" s="176">
        <f>MAX(((D149-C136)/4),((D147-C137)/4))+C138</f>
        <v>0.27499999999999997</v>
      </c>
      <c r="E150" s="170" t="s">
        <v>592</v>
      </c>
      <c r="F150" s="164"/>
      <c r="G150" s="166"/>
      <c r="H150" s="230"/>
      <c r="I150" s="230"/>
    </row>
    <row r="151" spans="1:9">
      <c r="A151" s="164"/>
      <c r="B151" s="193"/>
      <c r="C151" s="168" t="s">
        <v>541</v>
      </c>
      <c r="D151" s="169">
        <v>0.3</v>
      </c>
      <c r="E151" s="164"/>
      <c r="F151" s="164"/>
      <c r="G151" s="166"/>
      <c r="H151" s="230"/>
      <c r="I151" s="230"/>
    </row>
    <row r="152" spans="1:9">
      <c r="A152" s="164"/>
      <c r="B152" s="164"/>
      <c r="C152" s="164"/>
      <c r="D152" s="164"/>
      <c r="E152" s="164"/>
      <c r="F152" s="164"/>
      <c r="G152" s="166"/>
      <c r="H152" s="230"/>
      <c r="I152" s="230"/>
    </row>
    <row r="153" spans="1:9">
      <c r="A153" s="164"/>
      <c r="B153" s="180" t="s">
        <v>521</v>
      </c>
      <c r="C153" s="164"/>
      <c r="D153" s="164"/>
      <c r="E153" s="164"/>
      <c r="F153" s="164"/>
      <c r="G153" s="166"/>
      <c r="H153" s="230"/>
      <c r="I153" s="230"/>
    </row>
    <row r="154" spans="1:9">
      <c r="A154" s="164"/>
      <c r="B154" s="164"/>
      <c r="C154" s="164"/>
      <c r="D154" s="164"/>
      <c r="E154" s="164"/>
      <c r="F154" s="164"/>
      <c r="G154" s="166"/>
      <c r="H154" s="230"/>
      <c r="I154" s="230"/>
    </row>
    <row r="155" spans="1:9">
      <c r="A155" s="164"/>
      <c r="B155" s="164"/>
      <c r="C155" s="168" t="s">
        <v>542</v>
      </c>
      <c r="D155" s="176">
        <f>C118+(2.5*C136*C137*C139)+(2.5*D147*D149*D151)+2*((C139+D151)*D147*D149-(C136*C137*C139)-(D147*D149*D151))</f>
        <v>22.969499999999996</v>
      </c>
      <c r="E155" s="164"/>
      <c r="F155" s="164"/>
      <c r="G155" s="166"/>
      <c r="H155" s="230"/>
      <c r="I155" s="230"/>
    </row>
    <row r="156" spans="1:9">
      <c r="A156" s="164"/>
      <c r="B156" s="164"/>
      <c r="C156" s="172" t="s">
        <v>543</v>
      </c>
      <c r="D156" s="176">
        <f>D155*0.01/(D147*D149)</f>
        <v>0.15951041666666665</v>
      </c>
      <c r="E156" s="219" t="str">
        <f>IF(D156&lt;C130,"Vérifiée","Augmenter A et B")</f>
        <v>Vérifiée</v>
      </c>
      <c r="F156" s="164"/>
      <c r="G156" s="166"/>
      <c r="H156" s="230"/>
      <c r="I156" s="230"/>
    </row>
    <row r="157" spans="1:9">
      <c r="A157" s="164"/>
      <c r="B157" s="164"/>
      <c r="C157" s="165"/>
      <c r="D157" s="164"/>
      <c r="E157" s="164"/>
      <c r="F157" s="164"/>
      <c r="G157" s="166"/>
      <c r="H157" s="230"/>
      <c r="I157" s="230"/>
    </row>
    <row r="158" spans="1:9">
      <c r="A158" s="175"/>
      <c r="B158" s="180" t="s">
        <v>522</v>
      </c>
      <c r="C158" s="164"/>
      <c r="D158" s="164"/>
      <c r="E158" s="164"/>
      <c r="F158" s="164"/>
      <c r="G158" s="166"/>
      <c r="H158" s="230"/>
      <c r="I158" s="230"/>
    </row>
    <row r="159" spans="1:9">
      <c r="A159" s="164"/>
      <c r="B159" s="164"/>
      <c r="C159" s="164"/>
      <c r="D159" s="215"/>
      <c r="E159" s="164"/>
      <c r="F159" s="164"/>
      <c r="G159" s="166"/>
      <c r="H159" s="230"/>
      <c r="I159" s="230"/>
    </row>
    <row r="160" spans="1:9">
      <c r="A160" s="175"/>
      <c r="B160" s="164"/>
      <c r="C160" s="205" t="s">
        <v>544</v>
      </c>
      <c r="D160" s="164"/>
      <c r="E160" s="164"/>
      <c r="F160" s="164"/>
      <c r="G160" s="166"/>
      <c r="H160" s="230"/>
      <c r="I160" s="230"/>
    </row>
    <row r="161" spans="1:9" ht="15.75" thickBot="1">
      <c r="A161" s="181" t="s">
        <v>475</v>
      </c>
      <c r="B161" s="164"/>
      <c r="C161" s="164"/>
      <c r="D161" s="164"/>
      <c r="E161" s="164"/>
      <c r="F161" s="164"/>
      <c r="G161" s="166"/>
      <c r="H161" s="230"/>
      <c r="I161" s="230"/>
    </row>
    <row r="162" spans="1:9" ht="15.75" thickBot="1">
      <c r="A162" s="182" t="s">
        <v>476</v>
      </c>
      <c r="B162" s="194"/>
      <c r="C162" s="206" t="s">
        <v>545</v>
      </c>
      <c r="D162" s="211"/>
      <c r="E162" s="220" t="s">
        <v>593</v>
      </c>
      <c r="F162" s="223"/>
      <c r="G162" s="166"/>
      <c r="H162" s="230"/>
      <c r="I162" s="230"/>
    </row>
    <row r="163" spans="1:9" ht="15.75" thickBot="1">
      <c r="A163" s="183" t="s">
        <v>477</v>
      </c>
      <c r="B163" s="195">
        <f>4*C124/C122</f>
        <v>0</v>
      </c>
      <c r="C163" s="207" t="s">
        <v>477</v>
      </c>
      <c r="D163" s="195">
        <f>4*C128/C126</f>
        <v>0</v>
      </c>
      <c r="E163" s="221" t="s">
        <v>477</v>
      </c>
      <c r="F163" s="224">
        <f>4*C120/C119</f>
        <v>0</v>
      </c>
      <c r="G163" s="166"/>
      <c r="H163" s="230"/>
      <c r="I163" s="230"/>
    </row>
    <row r="164" spans="1:9" ht="15.75" thickBot="1">
      <c r="A164" s="183" t="s">
        <v>478</v>
      </c>
      <c r="B164" s="196" t="str">
        <f>IF(D147&gt;=B163,"Vérifiée","N vérifiée")</f>
        <v>Vérifiée</v>
      </c>
      <c r="C164" s="207" t="s">
        <v>478</v>
      </c>
      <c r="D164" s="196" t="str">
        <f>IF(D147&gt;=D163,"Vérifiée","N vérifiée")</f>
        <v>Vérifiée</v>
      </c>
      <c r="E164" s="221" t="s">
        <v>478</v>
      </c>
      <c r="F164" s="225" t="str">
        <f>IF(D147&gt;=F163,"Vérifiée","N vérifiée")</f>
        <v>Vérifiée</v>
      </c>
      <c r="G164" s="166"/>
      <c r="H164" s="230"/>
      <c r="I164" s="230"/>
    </row>
    <row r="165" spans="1:9" ht="15.75" thickBot="1">
      <c r="A165" s="181" t="s">
        <v>479</v>
      </c>
      <c r="B165" s="197"/>
      <c r="C165" s="168"/>
      <c r="D165" s="197"/>
      <c r="E165" s="168"/>
      <c r="F165" s="197"/>
      <c r="G165" s="166"/>
      <c r="H165" s="230"/>
      <c r="I165" s="230"/>
    </row>
    <row r="166" spans="1:9" ht="15.75" thickBot="1">
      <c r="A166" s="182" t="s">
        <v>480</v>
      </c>
      <c r="B166" s="194"/>
      <c r="C166" s="206" t="s">
        <v>546</v>
      </c>
      <c r="D166" s="211"/>
      <c r="E166" s="220" t="s">
        <v>594</v>
      </c>
      <c r="F166" s="223"/>
      <c r="G166" s="166"/>
      <c r="H166" s="230"/>
      <c r="I166" s="230"/>
    </row>
    <row r="167" spans="1:9" ht="15.75" thickBot="1">
      <c r="A167" s="183" t="s">
        <v>477</v>
      </c>
      <c r="B167" s="195" t="e">
        <f>4*C125/C123</f>
        <v>#DIV/0!</v>
      </c>
      <c r="C167" s="207" t="s">
        <v>477</v>
      </c>
      <c r="D167" s="195">
        <f>4*C129/C126</f>
        <v>0.20752522039443785</v>
      </c>
      <c r="E167" s="221" t="s">
        <v>477</v>
      </c>
      <c r="F167" s="224">
        <f>4*C121/C119</f>
        <v>9.7788297951031892E-3</v>
      </c>
      <c r="G167" s="166"/>
      <c r="H167" s="230"/>
      <c r="I167" s="230"/>
    </row>
    <row r="168" spans="1:9" ht="15.75" thickBot="1">
      <c r="A168" s="183" t="s">
        <v>478</v>
      </c>
      <c r="B168" s="196" t="e">
        <f>IF(D147&gt;=B167,"Vérifiée","N vérifiée")</f>
        <v>#DIV/0!</v>
      </c>
      <c r="C168" s="207" t="s">
        <v>478</v>
      </c>
      <c r="D168" s="196" t="str">
        <f>IF(D147&gt;=D167,"Vérifiée","N vérifiée")</f>
        <v>Vérifiée</v>
      </c>
      <c r="E168" s="221" t="s">
        <v>478</v>
      </c>
      <c r="F168" s="225" t="str">
        <f>IF(D147&gt;=F167,"Vérifiée","N vérifiée")</f>
        <v>Vérifiée</v>
      </c>
      <c r="G168" s="166"/>
      <c r="H168" s="230"/>
      <c r="I168" s="230"/>
    </row>
    <row r="169" spans="1:9">
      <c r="A169" s="168"/>
      <c r="B169" s="197"/>
      <c r="C169" s="168"/>
      <c r="D169" s="197"/>
      <c r="E169" s="168"/>
      <c r="F169" s="197"/>
      <c r="G169" s="166"/>
      <c r="H169" s="230"/>
      <c r="I169" s="230"/>
    </row>
    <row r="170" spans="1:9">
      <c r="A170" s="164"/>
      <c r="B170" s="164"/>
      <c r="C170" s="164"/>
      <c r="D170" s="164"/>
      <c r="E170" s="164"/>
      <c r="F170" s="164"/>
      <c r="G170" s="166"/>
      <c r="H170" s="230"/>
      <c r="I170" s="230"/>
    </row>
    <row r="171" spans="1:9">
      <c r="A171" s="164"/>
      <c r="B171" s="164"/>
      <c r="C171" s="208" t="s">
        <v>547</v>
      </c>
      <c r="D171" s="164"/>
      <c r="E171" s="164"/>
      <c r="F171" s="164"/>
      <c r="G171" s="166"/>
      <c r="H171" s="230"/>
      <c r="I171" s="230"/>
    </row>
    <row r="172" spans="1:9" ht="15.75" thickBot="1">
      <c r="A172" s="181" t="s">
        <v>475</v>
      </c>
      <c r="B172" s="198"/>
      <c r="C172" s="198"/>
      <c r="D172" s="198"/>
      <c r="E172" s="198"/>
      <c r="F172" s="198"/>
      <c r="G172" s="166"/>
      <c r="H172" s="230"/>
      <c r="I172" s="230"/>
    </row>
    <row r="173" spans="1:9" ht="15.75" thickBot="1">
      <c r="A173" s="182" t="s">
        <v>481</v>
      </c>
      <c r="B173" s="194"/>
      <c r="C173" s="209" t="s">
        <v>545</v>
      </c>
      <c r="D173" s="194"/>
      <c r="E173" s="209" t="s">
        <v>593</v>
      </c>
      <c r="F173" s="194"/>
      <c r="G173" s="166"/>
      <c r="H173" s="230"/>
      <c r="I173" s="230"/>
    </row>
    <row r="174" spans="1:9" ht="15.75" thickBot="1">
      <c r="A174" s="184" t="s">
        <v>482</v>
      </c>
      <c r="B174" s="199">
        <f>IF(ABS(((C122/(D147*D149))*(1+(6*C124/(C122*D147))))*0.01)&gt;ABS(((C122/(D147*D149))*(1-(6*C124/(C122*D147))))*0.01),(((C122/(D147*D149))*(1+(6*C124/(C122*D147))))*0.01),(((C122/(D147*D149))*(1-(6*C124/(C122*D147))))*0.01))</f>
        <v>0.11598611111111114</v>
      </c>
      <c r="C174" s="210" t="s">
        <v>482</v>
      </c>
      <c r="D174" s="199">
        <f>IF(ABS(((C126/(D147*D149))*(1+(6*C128/(C126*D147))))*0.01)&gt;ABS(((C126/(D147*D149))*(1-(6*C128/(C126*D147))))*0.01),(((C126/(D147*D149))*(1+(6*C128/(C126*D147))))*0.01),(((C126/(D147*D149))*(1-(6*C128/(C126*D147))))*0.01))</f>
        <v>0.15281944444444445</v>
      </c>
      <c r="E174" s="210" t="s">
        <v>482</v>
      </c>
      <c r="F174" s="199">
        <f>IF(ABS(((C119/(D147*D149))*(1+(6*C120/(C119*D147))))*0.01)&gt;ABS(((C119/(D147*D149))*(1-(6*C120/(C119*D147))))*0.01),(((C119/(D147*D149))*(1+(6*C120/(C119*D147))))*0.01),(((C119/(D147*D149))*(1-(6*C120/(C119*D147))))*0.01))</f>
        <v>0.1877638888888889</v>
      </c>
      <c r="G174" s="166"/>
      <c r="H174" s="230"/>
      <c r="I174" s="230"/>
    </row>
    <row r="175" spans="1:9" ht="15.75" thickBot="1">
      <c r="A175" s="184" t="s">
        <v>483</v>
      </c>
      <c r="B175" s="199">
        <f>IF(ABS(((C122/(D147*D149))*(1+(6*C124/(C122*D147))))*0.01)&lt;ABS(((C122/(D147*D149))*(1-(6*C124/(C122*D147))))*0.01),(((C122/(D147*D149))*(1+(6*C124/(C122*D147))))*0.01),(((C122/(D147*D149))*(1-(6*C124/(C122*D147))))*0.01))</f>
        <v>0.11598611111111114</v>
      </c>
      <c r="C175" s="210" t="s">
        <v>483</v>
      </c>
      <c r="D175" s="199">
        <f>IF(ABS(((C126/(D147*D149))*(1+(6*C128/(C126*D147))))*0.01)&lt;ABS(((C126/(D147*D149))*(1-(6*C128/(C126*D147))))*0.01),(((C126/(D147*D149))*(1+(6*C128/(C126*D147))))*0.01),(((C126/(D147*D149))*(1-(6*C128/(C126*D147))))*0.01))</f>
        <v>0.15281944444444445</v>
      </c>
      <c r="E175" s="210" t="s">
        <v>483</v>
      </c>
      <c r="F175" s="199">
        <f>IF(ABS(((C119/(D147*D149))*(1+(6*C120/(C119*D147))))*0.01)&lt;ABS(((C119/(D147*D149))*(1-(6*C120/(C119*D147))))*0.01),(((C119/(D147*D149))*(1+(6*C120/(C119*D147))))*0.01),(((C119/(D147*D149))*(1-(6*C120/(C119*D147))))*0.01))</f>
        <v>0.1877638888888889</v>
      </c>
      <c r="G175" s="166"/>
      <c r="H175" s="230"/>
      <c r="I175" s="230"/>
    </row>
    <row r="176" spans="1:9" ht="15.75" thickBot="1">
      <c r="A176" s="676" t="str">
        <f>IF(B174&gt;=0,IF(B175&lt;0,"Diagramme triangulaire","Diagramme trapézoidale"),IF(B174&lt;0,IF(B175&gt;=0,"Diagramme triangulaire","Diagramme trapézoidale")))</f>
        <v>Diagramme trapézoidale</v>
      </c>
      <c r="B176" s="677"/>
      <c r="C176" s="678" t="str">
        <f>IF(D174&gt;=0,IF(D175&lt;0,"Diagramme triangulaire","Diagramme trapézoidale"),IF(D174&lt;0,IF(D175&gt;=0,"Diagramme triangulaire","Diagramme trapézoidale")))</f>
        <v>Diagramme trapézoidale</v>
      </c>
      <c r="D176" s="677"/>
      <c r="E176" s="678" t="str">
        <f>IF(F174&gt;=0,IF(F175&lt;0,"Diagramme triangulaire","Diagramme trapézoidale"),IF(F174&lt;0,IF(F175&gt;=0,"Diagramme triangulaire","Diagramme trapézoidale")))</f>
        <v>Diagramme trapézoidale</v>
      </c>
      <c r="F176" s="677"/>
      <c r="G176" s="166"/>
      <c r="H176" s="230"/>
      <c r="I176" s="230"/>
    </row>
    <row r="177" spans="1:9" ht="15.75" thickBot="1">
      <c r="A177" s="184" t="s">
        <v>484</v>
      </c>
      <c r="B177" s="199">
        <f>IF(B174&gt;=0,IF(B175&lt;0,(2*B174/3),((3*B174+B175)/4)),IF(B174&lt;0,IF(B175&gt;=0,(2*B174/3),((3*B174+B175)/4))))</f>
        <v>0.11598611111111114</v>
      </c>
      <c r="C177" s="210" t="s">
        <v>484</v>
      </c>
      <c r="D177" s="199">
        <f>IF(D174&gt;=0,IF(D175&lt;0,(2*D174/3),((3*D174+D175)/4)),IF(D174&lt;0,IF(D175&gt;=0,(2*D174/3),((3*D174+D175)/4))))</f>
        <v>0.15281944444444445</v>
      </c>
      <c r="E177" s="210" t="s">
        <v>484</v>
      </c>
      <c r="F177" s="199">
        <f>IF(F174&gt;=0,IF(F175&lt;0,(2*F174/3),((3*F174+F175)/4)),IF(F174&lt;0,IF(F175&gt;=0,(2*F174/3),((3*F174+F175)/4))))</f>
        <v>0.1877638888888889</v>
      </c>
      <c r="G177" s="166"/>
      <c r="H177" s="230"/>
      <c r="I177" s="230"/>
    </row>
    <row r="178" spans="1:9" ht="15.75" thickBot="1">
      <c r="A178" s="185" t="s">
        <v>485</v>
      </c>
      <c r="B178" s="200" t="str">
        <f>IF((2*C130)&gt;=ABS(B177),"Vérifiée","N vérifiée")</f>
        <v>Vérifiée</v>
      </c>
      <c r="C178" s="211" t="s">
        <v>485</v>
      </c>
      <c r="D178" s="200" t="str">
        <f>IF((2*C130)&gt;=ABS(D177),"Vérifiée","N vérifiée")</f>
        <v>Vérifiée</v>
      </c>
      <c r="E178" s="211" t="s">
        <v>485</v>
      </c>
      <c r="F178" s="200" t="str">
        <f>IF((2*C130)&gt;=ABS(F177),"Vérifiée","N vérifiée")</f>
        <v>Vérifiée</v>
      </c>
      <c r="G178" s="166"/>
      <c r="H178" s="230"/>
      <c r="I178" s="230"/>
    </row>
    <row r="179" spans="1:9" ht="15.75" thickBot="1">
      <c r="A179" s="181" t="s">
        <v>479</v>
      </c>
      <c r="B179" s="197"/>
      <c r="C179" s="168"/>
      <c r="D179" s="197"/>
      <c r="E179" s="168"/>
      <c r="F179" s="197"/>
      <c r="G179" s="166"/>
      <c r="H179" s="230"/>
      <c r="I179" s="230"/>
    </row>
    <row r="180" spans="1:9" ht="15.75" thickBot="1">
      <c r="A180" s="182" t="s">
        <v>486</v>
      </c>
      <c r="B180" s="194"/>
      <c r="C180" s="209" t="s">
        <v>546</v>
      </c>
      <c r="D180" s="194"/>
      <c r="E180" s="209" t="s">
        <v>595</v>
      </c>
      <c r="F180" s="194"/>
      <c r="G180" s="166"/>
      <c r="H180" s="230"/>
      <c r="I180" s="230"/>
    </row>
    <row r="181" spans="1:9" ht="15.75" thickBot="1">
      <c r="A181" s="184" t="s">
        <v>482</v>
      </c>
      <c r="B181" s="199" t="e">
        <f>IF(ABS(((C123/(D147*D149))*(1+(6*C125/(C123*D149))))*0.01)&gt;ABS(((C123/(D147*D149))*(1-(6*C125/(C123*D149))))*0.01),(((C123/(D147*D149))*(1+(6*C125/(C123*D149))))*0.01),(((C123/(D147*D149))*(1-(6*C125/(C123*D149))))*0.01))</f>
        <v>#DIV/0!</v>
      </c>
      <c r="C181" s="210" t="s">
        <v>482</v>
      </c>
      <c r="D181" s="199" t="e">
        <f>IF(ABS(((C127/(D147*D149))*(1+(6*C129/(C127*D149))))*0.01)&gt;ABS(((C127/(D147*D149))*(1-(6*C129/(C127*D149))))*0.01),(((C127/(D147*D149))*(1+(6*C129/(C127*D149))))*0.01),(((C127/(D147*D149))*(1-(6*C129/(C127*D149))))*0.01))</f>
        <v>#DIV/0!</v>
      </c>
      <c r="E181" s="210" t="s">
        <v>482</v>
      </c>
      <c r="F181" s="199">
        <f>IF(ABS(((C119/(D147*D149))*(1+(6*C121/(C119*D149))))*0.01)&gt;ABS(((C119/(D147*D149))*(1-(6*C121/(C119*D149))))*0.01),(((C119/(D147*D149))*(1+(6*C121/(C119*D149))))*0.01),(((C119/(D147*D149))*(1-(6*C121/(C119*D149))))*0.01))</f>
        <v>0.19005902777777778</v>
      </c>
      <c r="G181" s="166"/>
      <c r="H181" s="230"/>
      <c r="I181" s="230"/>
    </row>
    <row r="182" spans="1:9" ht="15.75" thickBot="1">
      <c r="A182" s="184" t="s">
        <v>483</v>
      </c>
      <c r="B182" s="199" t="e">
        <f>IF(ABS(((C123/(D147*D149))*(1+(6*C125/(C123*D149))))*0.01)&lt;ABS(((C123/(D147*D149))*(1-(6*C125/(C123*D149))))*0.01),(((C123/(D147*D149))*(1+(6*C125/(C123*D149))))*0.01),(((C123/(D147*D149))*(1-(6*C125/(C123*D149))))*0.01))</f>
        <v>#DIV/0!</v>
      </c>
      <c r="C182" s="210" t="s">
        <v>483</v>
      </c>
      <c r="D182" s="199" t="e">
        <f>IF(ABS(((C127/(D147*D149))*(1+(6*C129/(C127*D149))))*0.01)&lt;ABS(((C127/(D147*D149))*(1-(6*C129/(C127*D149))))*0.01),(((C127/(D147*D149))*(1+(6*C129/(C127*D149))))*0.01),(((C127/(D147*D149))*(1-(6*C129/(C127*D149))))*0.01))</f>
        <v>#DIV/0!</v>
      </c>
      <c r="E182" s="210" t="s">
        <v>483</v>
      </c>
      <c r="F182" s="199">
        <f>IF(ABS(((C119/(D147*D149))*(1+(6*C121/(C119*D149))))*0.01)&lt;ABS(((C119/(D147*D149))*(1-(6*C121/(C119*D149))))*0.01),(((C119/(D147*D149))*(1+(6*C121/(C119*D149))))*0.01),(((C119/(D147*D149))*(1-(6*C121/(C119*D149))))*0.01))</f>
        <v>0.18546875000000002</v>
      </c>
      <c r="G182" s="166"/>
      <c r="H182" s="230"/>
      <c r="I182" s="230"/>
    </row>
    <row r="183" spans="1:9" ht="15.75" thickBot="1">
      <c r="A183" s="676" t="e">
        <f>IF(B181&gt;=0,IF(B182&lt;0,"Diagramme triangulaire","Diagramme trapézoidale"),IF(B181&lt;0,IF(B182&gt;=0,"Diagramme triangulaire","Diagramme trapézoidale")))</f>
        <v>#DIV/0!</v>
      </c>
      <c r="B183" s="677"/>
      <c r="C183" s="678" t="e">
        <f>IF(D181&gt;=0,IF(D182&lt;0,"Diagramme triangulaire","Diagramme trapézoidale"),IF(D181&lt;0,IF(D182&gt;=0,"Diagramme triangulaire","Diagramme trapézoidale")))</f>
        <v>#DIV/0!</v>
      </c>
      <c r="D183" s="677"/>
      <c r="E183" s="678" t="str">
        <f>IF(F181&gt;=0,IF(F182&lt;0,"Diagramme triangulaire","Diagramme trapézoidale"),IF(F181&lt;0,IF(F182&gt;=0,"Diagramme triangulaire","Diagramme trapézoidale")))</f>
        <v>Diagramme trapézoidale</v>
      </c>
      <c r="F183" s="677"/>
      <c r="G183" s="166"/>
      <c r="H183" s="230"/>
      <c r="I183" s="230"/>
    </row>
    <row r="184" spans="1:9" ht="15.75" thickBot="1">
      <c r="A184" s="184" t="s">
        <v>484</v>
      </c>
      <c r="B184" s="199" t="e">
        <f>IF(B181&gt;=0,IF(B182&lt;0,(2*B181/3),((3*B181+B182)/4)),IF(B181&lt;0,IF(B182&gt;=0,(2*B181/3),((3*B181+B182)/4))))</f>
        <v>#DIV/0!</v>
      </c>
      <c r="C184" s="210" t="s">
        <v>484</v>
      </c>
      <c r="D184" s="199" t="e">
        <f>IF(D181&gt;=0,IF(D182&lt;0,(2*D181/3),((3*D181+D182)/4)),IF(D181&lt;0,IF(D182&gt;=0,(2*D181/3),((3*D181+D182)/4))))</f>
        <v>#DIV/0!</v>
      </c>
      <c r="E184" s="210" t="s">
        <v>484</v>
      </c>
      <c r="F184" s="199">
        <f>IF(F181&gt;=0,IF(F182&lt;0,(2*F181/3),((3*F181+F182)/4)),IF(F181&lt;0,IF(F182&gt;=0,(2*F181/3),((3*F181+F182)/4))))</f>
        <v>0.18891145833333334</v>
      </c>
      <c r="G184" s="166"/>
      <c r="H184" s="230"/>
      <c r="I184" s="230"/>
    </row>
    <row r="185" spans="1:9" ht="15.75" thickBot="1">
      <c r="A185" s="185" t="s">
        <v>485</v>
      </c>
      <c r="B185" s="200" t="e">
        <f>IF((2*C137)&gt;=ABS(B184),"Vérifiée","N vérifiée")</f>
        <v>#DIV/0!</v>
      </c>
      <c r="C185" s="211" t="s">
        <v>485</v>
      </c>
      <c r="D185" s="200" t="e">
        <f>IF((2*C137)&gt;=ABS(D184),"Vérifiée","N vérifiée")</f>
        <v>#DIV/0!</v>
      </c>
      <c r="E185" s="211" t="s">
        <v>485</v>
      </c>
      <c r="F185" s="200" t="str">
        <f>IF((2*C137)&gt;=ABS(F184),"Vérifiée","N vérifiée")</f>
        <v>Vérifiée</v>
      </c>
      <c r="G185" s="166"/>
      <c r="H185" s="230"/>
      <c r="I185" s="230"/>
    </row>
    <row r="186" spans="1:9">
      <c r="A186" s="171"/>
      <c r="B186" s="171"/>
      <c r="C186" s="171"/>
      <c r="D186" s="171"/>
      <c r="E186" s="171"/>
      <c r="F186" s="171"/>
      <c r="G186" s="227"/>
      <c r="H186" s="235"/>
      <c r="I186" s="235"/>
    </row>
    <row r="187" spans="1:9">
      <c r="A187" s="171"/>
      <c r="B187" s="171"/>
      <c r="C187" s="212" t="s">
        <v>548</v>
      </c>
      <c r="D187" s="171"/>
      <c r="E187" s="171"/>
      <c r="F187" s="171"/>
      <c r="G187" s="171"/>
      <c r="H187" s="235"/>
      <c r="I187" s="235"/>
    </row>
    <row r="188" spans="1:9">
      <c r="A188" s="171"/>
      <c r="B188" s="171"/>
      <c r="C188" s="171"/>
      <c r="D188" s="171"/>
      <c r="E188" s="171"/>
      <c r="F188" s="171"/>
      <c r="G188" s="171"/>
      <c r="H188" s="235"/>
      <c r="I188" s="235"/>
    </row>
    <row r="189" spans="1:9">
      <c r="A189" s="171"/>
      <c r="B189" s="171"/>
      <c r="C189" s="213" t="s">
        <v>549</v>
      </c>
      <c r="D189" s="171"/>
      <c r="E189" s="171"/>
      <c r="F189" s="171"/>
      <c r="G189" s="171"/>
      <c r="H189" s="230"/>
      <c r="I189" s="230"/>
    </row>
    <row r="190" spans="1:9">
      <c r="A190" s="171"/>
      <c r="B190" s="171"/>
      <c r="C190" s="171"/>
      <c r="D190" s="171" t="s">
        <v>585</v>
      </c>
      <c r="E190" s="171"/>
      <c r="F190" s="171"/>
      <c r="G190" s="171"/>
      <c r="H190" s="235"/>
      <c r="I190" s="235"/>
    </row>
    <row r="191" spans="1:9">
      <c r="A191" s="171"/>
      <c r="B191" s="171"/>
      <c r="C191" s="171"/>
      <c r="D191" s="171"/>
      <c r="E191" s="171"/>
      <c r="F191" s="171"/>
      <c r="G191" s="171"/>
      <c r="H191" s="235"/>
      <c r="I191" s="235"/>
    </row>
    <row r="192" spans="1:9">
      <c r="A192" s="186" t="s">
        <v>487</v>
      </c>
      <c r="B192" s="171" t="s">
        <v>523</v>
      </c>
      <c r="C192" s="171"/>
      <c r="D192" s="171"/>
      <c r="E192" s="171"/>
      <c r="F192" s="171"/>
      <c r="G192" s="171"/>
      <c r="H192" s="235"/>
      <c r="I192" s="235"/>
    </row>
    <row r="193" spans="1:9">
      <c r="A193" s="186" t="s">
        <v>488</v>
      </c>
      <c r="B193" s="171" t="s">
        <v>524</v>
      </c>
      <c r="C193" s="171"/>
      <c r="D193" s="171"/>
      <c r="E193" s="171"/>
      <c r="F193" s="171"/>
      <c r="G193" s="171"/>
      <c r="H193" s="235"/>
      <c r="I193" s="235"/>
    </row>
    <row r="194" spans="1:9">
      <c r="A194" s="186" t="s">
        <v>489</v>
      </c>
      <c r="B194" s="171" t="s">
        <v>525</v>
      </c>
      <c r="C194" s="171"/>
      <c r="D194" s="171"/>
      <c r="E194" s="171"/>
      <c r="F194" s="171"/>
      <c r="G194" s="171"/>
      <c r="H194" s="235"/>
      <c r="I194" s="235"/>
    </row>
    <row r="195" spans="1:9">
      <c r="A195" s="186" t="s">
        <v>490</v>
      </c>
      <c r="B195" s="171" t="s">
        <v>526</v>
      </c>
      <c r="C195" s="171"/>
      <c r="D195" s="171"/>
      <c r="E195" s="171"/>
      <c r="F195" s="171"/>
      <c r="G195" s="171"/>
      <c r="H195" s="235"/>
      <c r="I195" s="235"/>
    </row>
    <row r="196" spans="1:9">
      <c r="A196" s="186" t="s">
        <v>491</v>
      </c>
      <c r="B196" s="171" t="s">
        <v>527</v>
      </c>
      <c r="C196" s="171"/>
      <c r="D196" s="171"/>
      <c r="E196" s="171"/>
      <c r="F196" s="171"/>
      <c r="G196" s="171"/>
      <c r="H196" s="235"/>
      <c r="I196" s="235"/>
    </row>
    <row r="197" spans="1:9">
      <c r="A197" s="186"/>
      <c r="B197" s="171"/>
      <c r="C197" s="171"/>
      <c r="D197" s="171"/>
      <c r="E197" s="171"/>
      <c r="F197" s="171"/>
      <c r="G197" s="171"/>
      <c r="H197" s="235"/>
      <c r="I197" s="235"/>
    </row>
    <row r="198" spans="1:9" ht="15.75">
      <c r="A198" s="181" t="s">
        <v>492</v>
      </c>
      <c r="B198" s="171" t="s">
        <v>528</v>
      </c>
      <c r="C198" s="171"/>
      <c r="D198" s="216"/>
      <c r="E198" s="171"/>
      <c r="F198" s="171"/>
      <c r="G198" s="171"/>
      <c r="H198" s="235"/>
      <c r="I198" s="235"/>
    </row>
    <row r="199" spans="1:9" ht="15.75">
      <c r="A199" s="187" t="s">
        <v>493</v>
      </c>
      <c r="B199" s="171" t="s">
        <v>529</v>
      </c>
      <c r="C199" s="171"/>
      <c r="D199" s="216"/>
      <c r="E199" s="171"/>
      <c r="F199" s="171"/>
      <c r="G199" s="171"/>
      <c r="H199" s="235"/>
      <c r="I199" s="235"/>
    </row>
    <row r="200" spans="1:9" ht="15.75">
      <c r="A200" s="171"/>
      <c r="B200" s="171"/>
      <c r="C200" s="171"/>
      <c r="D200" s="216"/>
      <c r="E200" s="171"/>
      <c r="F200" s="171"/>
      <c r="G200" s="171"/>
      <c r="H200" s="235"/>
      <c r="I200" s="235"/>
    </row>
    <row r="201" spans="1:9">
      <c r="A201" s="181" t="s">
        <v>494</v>
      </c>
      <c r="B201" s="171" t="s">
        <v>530</v>
      </c>
      <c r="C201" s="171"/>
      <c r="D201" s="171"/>
      <c r="E201" s="171"/>
      <c r="F201" s="171"/>
      <c r="G201" s="171"/>
      <c r="H201" s="235"/>
      <c r="I201" s="235"/>
    </row>
    <row r="202" spans="1:9">
      <c r="A202" s="188"/>
      <c r="B202" s="188"/>
      <c r="C202" s="188"/>
      <c r="D202" s="188"/>
      <c r="E202" s="188"/>
      <c r="F202" s="188"/>
      <c r="G202" s="188"/>
      <c r="H202" s="235"/>
      <c r="I202" s="235"/>
    </row>
    <row r="203" spans="1:9" ht="15.75">
      <c r="A203" s="189" t="s">
        <v>495</v>
      </c>
      <c r="B203" s="189" t="s">
        <v>531</v>
      </c>
      <c r="C203" s="189" t="s">
        <v>550</v>
      </c>
      <c r="D203" s="217" t="s">
        <v>586</v>
      </c>
      <c r="E203" s="189" t="s">
        <v>596</v>
      </c>
      <c r="F203" s="226" t="s">
        <v>120</v>
      </c>
      <c r="G203" s="228"/>
      <c r="H203" s="236"/>
      <c r="I203" s="236"/>
    </row>
    <row r="204" spans="1:9" ht="15.75">
      <c r="A204" s="190">
        <f>C136</f>
        <v>0.3</v>
      </c>
      <c r="B204" s="190">
        <f>C137</f>
        <v>0.3</v>
      </c>
      <c r="C204" s="190">
        <f>D151</f>
        <v>0.3</v>
      </c>
      <c r="D204" s="190">
        <f>C130*1000</f>
        <v>200</v>
      </c>
      <c r="E204" s="222">
        <f>(2*C204+A204+B204)*2</f>
        <v>2.4</v>
      </c>
      <c r="F204" s="673" t="str">
        <f>+IF(1.2*D206&gt;=E206,"Vérifiéé","Non vérifiée")</f>
        <v>Vérifiéé</v>
      </c>
      <c r="G204" s="229"/>
      <c r="H204" s="237"/>
      <c r="I204" s="237"/>
    </row>
    <row r="205" spans="1:9" ht="15.75">
      <c r="A205" s="189" t="s">
        <v>496</v>
      </c>
      <c r="B205" s="189" t="s">
        <v>532</v>
      </c>
      <c r="C205" s="189" t="s">
        <v>551</v>
      </c>
      <c r="D205" s="189" t="s">
        <v>587</v>
      </c>
      <c r="E205" s="189" t="s">
        <v>254</v>
      </c>
      <c r="F205" s="674"/>
      <c r="G205" s="228"/>
      <c r="H205" s="235"/>
      <c r="I205" s="235"/>
    </row>
    <row r="206" spans="1:9">
      <c r="A206" s="191">
        <f>(A204+C204)*(B204+C204)*D204</f>
        <v>72</v>
      </c>
      <c r="B206" s="201">
        <f>C119*10</f>
        <v>270.38</v>
      </c>
      <c r="C206" s="201">
        <f>C141*1000</f>
        <v>2100</v>
      </c>
      <c r="D206" s="218">
        <f>C206*1.2</f>
        <v>2520</v>
      </c>
      <c r="E206" s="218">
        <f>+(1.5*(B206-A206)/(E204*C204))</f>
        <v>413.29166666666669</v>
      </c>
      <c r="F206" s="675"/>
      <c r="G206" s="188"/>
      <c r="H206" s="235"/>
      <c r="I206" s="235"/>
    </row>
    <row r="207" spans="1:9">
      <c r="A207" s="164"/>
      <c r="B207" s="164"/>
      <c r="C207" s="164"/>
      <c r="D207" s="164"/>
      <c r="E207" s="164"/>
      <c r="F207" s="164"/>
      <c r="G207" s="166"/>
      <c r="H207" s="230"/>
      <c r="I207" s="230"/>
    </row>
    <row r="208" spans="1:9">
      <c r="A208" s="164"/>
      <c r="B208" s="164"/>
      <c r="C208" s="164"/>
      <c r="D208" s="180" t="s">
        <v>588</v>
      </c>
      <c r="E208" s="164"/>
      <c r="F208" s="164"/>
      <c r="G208" s="166"/>
      <c r="H208" s="230"/>
      <c r="I208" s="230"/>
    </row>
    <row r="209" spans="1:9">
      <c r="A209" s="164"/>
      <c r="B209" s="164"/>
      <c r="C209" s="214" t="s">
        <v>167</v>
      </c>
      <c r="D209" s="164"/>
      <c r="E209" s="197"/>
      <c r="F209" s="214" t="s">
        <v>597</v>
      </c>
      <c r="G209" s="166"/>
      <c r="H209" s="230"/>
      <c r="I209" s="230"/>
    </row>
    <row r="210" spans="1:9">
      <c r="A210" s="164"/>
      <c r="B210" s="168" t="s">
        <v>533</v>
      </c>
      <c r="C210" s="176">
        <f>MAX(ABS(C119),D155)*(D147-C137)*100/(8*(D151-C138)*C131)</f>
        <v>3.4962931034482758</v>
      </c>
      <c r="D210" s="164"/>
      <c r="E210" s="168" t="s">
        <v>533</v>
      </c>
      <c r="F210" s="176">
        <f>MAX(ABS(C118),D155)*(D147-C137)*100/(8*(D151-C138)*C140)</f>
        <v>5.1262730077250707</v>
      </c>
      <c r="G210" s="166"/>
      <c r="H210" s="230"/>
      <c r="I210" s="230"/>
    </row>
    <row r="211" spans="1:9">
      <c r="A211" s="164"/>
      <c r="B211" s="168" t="s">
        <v>534</v>
      </c>
      <c r="C211" s="176">
        <f>MAX(ABS(C119),D155)*(D149-C136)*100/(8*(D151-C138)*C131)</f>
        <v>3.4962931034482758</v>
      </c>
      <c r="D211" s="164"/>
      <c r="E211" s="168" t="s">
        <v>534</v>
      </c>
      <c r="F211" s="176">
        <f>MAX(ABS(C118),D155)*(D149-C136)*100/(8*(D151-C138)*C140)</f>
        <v>5.1262730077250707</v>
      </c>
      <c r="G211" s="166"/>
      <c r="H211" s="230"/>
      <c r="I211" s="230"/>
    </row>
    <row r="212" spans="1:9">
      <c r="A212" s="164"/>
      <c r="B212" s="164"/>
      <c r="C212" s="164"/>
      <c r="D212" s="164"/>
      <c r="E212" s="164"/>
      <c r="F212" s="164"/>
      <c r="G212" s="166"/>
      <c r="H212" s="230"/>
      <c r="I212" s="230"/>
    </row>
    <row r="213" spans="1:9">
      <c r="A213" s="164"/>
      <c r="B213" s="202" t="s">
        <v>535</v>
      </c>
      <c r="C213" s="164"/>
      <c r="D213" s="164"/>
      <c r="E213" s="164"/>
      <c r="F213" s="164"/>
      <c r="G213" s="166"/>
      <c r="H213" s="230"/>
      <c r="I213" s="230"/>
    </row>
    <row r="214" spans="1:9">
      <c r="A214" s="164"/>
      <c r="B214" s="203"/>
      <c r="C214" s="164"/>
      <c r="D214" s="203"/>
      <c r="E214" s="171"/>
      <c r="F214" s="164"/>
      <c r="G214" s="166"/>
      <c r="H214" s="230"/>
      <c r="I214" s="230"/>
    </row>
    <row r="215" spans="1:9">
      <c r="A215" s="164"/>
      <c r="B215" s="164"/>
      <c r="C215" s="180" t="s">
        <v>552</v>
      </c>
      <c r="D215" s="193"/>
      <c r="E215" s="164"/>
      <c r="F215" s="164"/>
      <c r="G215" s="166"/>
      <c r="H215" s="230"/>
      <c r="I215" s="230"/>
    </row>
    <row r="216" spans="1:9">
      <c r="A216" s="164"/>
      <c r="B216" s="164"/>
      <c r="C216" s="164"/>
      <c r="D216" s="164"/>
      <c r="E216" s="164"/>
      <c r="F216" s="164"/>
      <c r="G216" s="166"/>
      <c r="H216" s="230"/>
      <c r="I216" s="230"/>
    </row>
    <row r="217" spans="1:9">
      <c r="A217" s="164"/>
      <c r="B217" s="164"/>
      <c r="C217" s="168" t="s">
        <v>553</v>
      </c>
      <c r="D217" s="169">
        <v>14</v>
      </c>
      <c r="E217" s="164"/>
      <c r="F217" s="164"/>
      <c r="G217" s="166"/>
      <c r="H217" s="230"/>
      <c r="I217" s="230"/>
    </row>
    <row r="218" spans="1:9">
      <c r="A218" s="164"/>
      <c r="B218" s="164"/>
      <c r="C218" s="168" t="s">
        <v>554</v>
      </c>
      <c r="D218" s="176">
        <f>0.6*C134^2*C141</f>
        <v>2.835</v>
      </c>
      <c r="E218" s="164"/>
      <c r="F218" s="164"/>
      <c r="G218" s="166"/>
      <c r="H218" s="230"/>
      <c r="I218" s="230"/>
    </row>
    <row r="219" spans="1:9">
      <c r="A219" s="164"/>
      <c r="B219" s="164"/>
      <c r="C219" s="168" t="s">
        <v>555</v>
      </c>
      <c r="D219" s="176">
        <f>C132*D217*0.001/(4*D218)</f>
        <v>0.49382716049382719</v>
      </c>
      <c r="E219" s="164"/>
      <c r="F219" s="164"/>
      <c r="G219" s="166"/>
      <c r="H219" s="230"/>
      <c r="I219" s="230"/>
    </row>
    <row r="220" spans="1:9">
      <c r="A220" s="164"/>
      <c r="B220" s="164"/>
      <c r="C220" s="164"/>
      <c r="D220" s="164"/>
      <c r="E220" s="164"/>
      <c r="F220" s="164"/>
      <c r="G220" s="166"/>
      <c r="H220" s="230"/>
      <c r="I220" s="230"/>
    </row>
    <row r="221" spans="1:9">
      <c r="A221" s="164"/>
      <c r="B221" s="170"/>
      <c r="C221" s="170" t="s">
        <v>556</v>
      </c>
      <c r="D221" s="164"/>
      <c r="E221" s="164"/>
      <c r="F221" s="164"/>
      <c r="G221" s="166"/>
      <c r="H221" s="230"/>
      <c r="I221" s="230"/>
    </row>
    <row r="222" spans="1:9">
      <c r="A222" s="164"/>
      <c r="B222" s="204"/>
      <c r="C222" s="180" t="s">
        <v>557</v>
      </c>
      <c r="D222" s="164"/>
      <c r="E222" s="164"/>
      <c r="F222" s="164"/>
      <c r="G222" s="166"/>
      <c r="H222" s="230"/>
      <c r="I222" s="230"/>
    </row>
    <row r="223" spans="1:9">
      <c r="A223" s="164"/>
      <c r="B223" s="164"/>
      <c r="C223" s="164"/>
      <c r="D223" s="164"/>
      <c r="E223" s="164"/>
      <c r="F223" s="164"/>
      <c r="G223" s="166"/>
      <c r="H223" s="230"/>
      <c r="I223" s="230"/>
    </row>
    <row r="224" spans="1:9">
      <c r="A224" s="192" t="str">
        <f>IF(D219&gt;(0.25*D149),"Les barres doivent êtres jusqu'aux extrimitées et comportées des ancrages courbes",IF(D219&gt;(0.125*D147),IF(D219&lt;=(0.25*D147),"Les barres sont prolongées jusqu'aux extrimitées mais peuvent êtres droites",IF(D219&lt;=(0.125*D147),"Les barres doivent êtres droites, et on peut arreter une barre sur deux à une longueur égale à 0,71B, ou altérner des barres de 0,86B"))))</f>
        <v>Les barres doivent êtres jusqu'aux extrimitées et comportées des ancrages courbes</v>
      </c>
      <c r="B224" s="164"/>
      <c r="C224" s="164"/>
      <c r="D224" s="164"/>
      <c r="E224" s="164"/>
      <c r="F224" s="164"/>
      <c r="G224" s="166"/>
      <c r="H224" s="230"/>
      <c r="I224" s="230"/>
    </row>
    <row r="225" spans="1:9" ht="15.75" thickBot="1">
      <c r="A225" s="177"/>
      <c r="B225" s="178"/>
      <c r="C225" s="178"/>
      <c r="D225" s="178"/>
      <c r="E225" s="178"/>
      <c r="F225" s="178"/>
      <c r="G225" s="179"/>
      <c r="H225" s="230"/>
      <c r="I225" s="230"/>
    </row>
    <row r="226" spans="1:9" ht="15.75" thickTop="1"/>
  </sheetData>
  <mergeCells count="14">
    <mergeCell ref="A63:B63"/>
    <mergeCell ref="C63:D63"/>
    <mergeCell ref="E63:F63"/>
    <mergeCell ref="A70:B70"/>
    <mergeCell ref="C70:D70"/>
    <mergeCell ref="E70:F70"/>
    <mergeCell ref="F204:F206"/>
    <mergeCell ref="F91:F93"/>
    <mergeCell ref="A176:B176"/>
    <mergeCell ref="C176:D176"/>
    <mergeCell ref="E176:F176"/>
    <mergeCell ref="A183:B183"/>
    <mergeCell ref="C183:D183"/>
    <mergeCell ref="E183:F183"/>
  </mergeCells>
  <pageMargins left="0.7" right="0.7" top="0.75" bottom="0.75" header="0.3" footer="0.3"/>
  <legacyDrawing r:id="rId1"/>
  <oleObjects>
    <oleObject progId="Equation.3" shapeId="7174" r:id="rId2"/>
    <oleObject progId="Equation.3" shapeId="7175" r:id="rId3"/>
  </oleObjects>
</worksheet>
</file>

<file path=xl/worksheets/sheet8.xml><?xml version="1.0" encoding="utf-8"?>
<worksheet xmlns="http://schemas.openxmlformats.org/spreadsheetml/2006/main" xmlns:r="http://schemas.openxmlformats.org/officeDocument/2006/relationships">
  <dimension ref="A1:J101"/>
  <sheetViews>
    <sheetView topLeftCell="A58" workbookViewId="0">
      <selection activeCell="H38" sqref="H38"/>
    </sheetView>
  </sheetViews>
  <sheetFormatPr baseColWidth="10" defaultRowHeight="15"/>
  <sheetData>
    <row r="1" spans="1:10" ht="20.25" thickTop="1" thickBot="1">
      <c r="A1" s="245"/>
      <c r="B1" s="161" t="s">
        <v>650</v>
      </c>
      <c r="C1" s="162"/>
      <c r="D1" s="162"/>
      <c r="E1" s="162"/>
      <c r="F1" s="162"/>
      <c r="G1" s="162"/>
      <c r="H1" s="163"/>
      <c r="I1" s="230"/>
      <c r="J1" s="231" t="s">
        <v>598</v>
      </c>
    </row>
    <row r="2" spans="1:10" ht="16.5" thickTop="1" thickBot="1">
      <c r="A2" s="245"/>
      <c r="B2" s="164"/>
      <c r="C2" s="164"/>
      <c r="D2" s="164"/>
      <c r="E2" s="246" t="s">
        <v>558</v>
      </c>
      <c r="F2" s="164"/>
      <c r="G2" s="164"/>
      <c r="H2" s="166"/>
      <c r="I2" s="232" t="s">
        <v>599</v>
      </c>
      <c r="J2" s="247">
        <v>197.67272727272726</v>
      </c>
    </row>
    <row r="3" spans="1:10" ht="17.25" thickTop="1" thickBot="1">
      <c r="A3" s="245"/>
      <c r="B3" s="164"/>
      <c r="C3" s="167" t="s">
        <v>497</v>
      </c>
      <c r="D3" s="164"/>
      <c r="E3" s="246" t="s">
        <v>559</v>
      </c>
      <c r="F3" s="164"/>
      <c r="G3" s="164"/>
      <c r="H3" s="166"/>
      <c r="I3" s="232" t="s">
        <v>488</v>
      </c>
      <c r="J3" s="247">
        <v>270.44090909090909</v>
      </c>
    </row>
    <row r="4" spans="1:10" ht="16.5" thickTop="1" thickBot="1">
      <c r="A4" s="245"/>
      <c r="B4" s="164"/>
      <c r="C4" s="168"/>
      <c r="D4" s="164"/>
      <c r="E4" s="164"/>
      <c r="F4" s="164"/>
      <c r="G4" s="164"/>
      <c r="H4" s="166"/>
      <c r="I4" s="232" t="s">
        <v>600</v>
      </c>
      <c r="J4" s="247">
        <v>2.3640909090909092</v>
      </c>
    </row>
    <row r="5" spans="1:10" ht="16.5" thickTop="1" thickBot="1">
      <c r="A5" s="245"/>
      <c r="B5" s="164"/>
      <c r="C5" s="168" t="s">
        <v>498</v>
      </c>
      <c r="D5" s="248">
        <f>J2*0.1</f>
        <v>19.767272727272726</v>
      </c>
      <c r="E5" s="170" t="s">
        <v>560</v>
      </c>
      <c r="F5" s="164"/>
      <c r="G5" s="164"/>
      <c r="H5" s="166"/>
      <c r="I5" s="232" t="s">
        <v>601</v>
      </c>
      <c r="J5" s="247">
        <v>453.06818181818176</v>
      </c>
    </row>
    <row r="6" spans="1:10" ht="16.5" thickTop="1" thickBot="1">
      <c r="A6" s="245"/>
      <c r="B6" s="164"/>
      <c r="C6" s="168" t="s">
        <v>499</v>
      </c>
      <c r="D6" s="248">
        <f t="shared" ref="D6:D11" si="0">J3*0.1</f>
        <v>27.044090909090912</v>
      </c>
      <c r="E6" s="170" t="s">
        <v>561</v>
      </c>
      <c r="F6" s="164"/>
      <c r="G6" s="164"/>
      <c r="H6" s="166"/>
      <c r="I6" s="232" t="s">
        <v>602</v>
      </c>
      <c r="J6" s="247">
        <v>17.112272727272725</v>
      </c>
    </row>
    <row r="7" spans="1:10" ht="16.5" thickTop="1" thickBot="1">
      <c r="A7" s="245"/>
      <c r="B7" s="164"/>
      <c r="C7" s="168" t="s">
        <v>608</v>
      </c>
      <c r="D7" s="248">
        <f t="shared" si="0"/>
        <v>0.23640909090909093</v>
      </c>
      <c r="E7" s="170" t="s">
        <v>562</v>
      </c>
      <c r="F7" s="164"/>
      <c r="G7" s="164"/>
      <c r="H7" s="166"/>
      <c r="I7" s="232" t="s">
        <v>603</v>
      </c>
      <c r="J7" s="247">
        <v>511.72272727272724</v>
      </c>
    </row>
    <row r="8" spans="1:10" ht="16.5" thickTop="1" thickBot="1">
      <c r="A8" s="245"/>
      <c r="B8" s="164"/>
      <c r="C8" s="168" t="s">
        <v>609</v>
      </c>
      <c r="D8" s="248">
        <f t="shared" si="0"/>
        <v>45.30681818181818</v>
      </c>
      <c r="E8" s="170" t="s">
        <v>610</v>
      </c>
      <c r="F8" s="164"/>
      <c r="G8" s="164"/>
      <c r="H8" s="166"/>
      <c r="I8" s="232" t="s">
        <v>604</v>
      </c>
      <c r="J8" s="247">
        <v>17.211818181818181</v>
      </c>
    </row>
    <row r="9" spans="1:10" ht="15.75" thickTop="1">
      <c r="A9" s="245"/>
      <c r="B9" s="164"/>
      <c r="C9" s="168" t="s">
        <v>611</v>
      </c>
      <c r="D9" s="248">
        <f t="shared" si="0"/>
        <v>1.7112272727272726</v>
      </c>
      <c r="E9" s="170" t="s">
        <v>612</v>
      </c>
      <c r="F9" s="164"/>
      <c r="G9" s="164"/>
      <c r="H9" s="166"/>
      <c r="I9" s="230"/>
      <c r="J9" s="230"/>
    </row>
    <row r="10" spans="1:10">
      <c r="A10" s="245"/>
      <c r="B10" s="164"/>
      <c r="C10" s="168" t="s">
        <v>613</v>
      </c>
      <c r="D10" s="248">
        <f t="shared" si="0"/>
        <v>51.172272727272727</v>
      </c>
      <c r="E10" s="170" t="s">
        <v>614</v>
      </c>
      <c r="F10" s="164"/>
      <c r="G10" s="164"/>
      <c r="H10" s="166"/>
      <c r="I10" s="230"/>
      <c r="J10" s="230"/>
    </row>
    <row r="11" spans="1:10">
      <c r="A11" s="245"/>
      <c r="B11" s="164"/>
      <c r="C11" s="168" t="s">
        <v>615</v>
      </c>
      <c r="D11" s="248">
        <f t="shared" si="0"/>
        <v>1.7211818181818181</v>
      </c>
      <c r="E11" s="170" t="s">
        <v>616</v>
      </c>
      <c r="F11" s="164"/>
      <c r="G11" s="164"/>
      <c r="H11" s="166"/>
      <c r="I11" s="230"/>
      <c r="J11" s="230"/>
    </row>
    <row r="12" spans="1:10">
      <c r="A12" s="245"/>
      <c r="B12" s="164"/>
      <c r="C12" s="172" t="s">
        <v>510</v>
      </c>
      <c r="D12" s="169">
        <v>0.15</v>
      </c>
      <c r="E12" s="173" t="s">
        <v>572</v>
      </c>
      <c r="F12" s="164"/>
      <c r="G12" s="164"/>
      <c r="H12" s="166"/>
      <c r="I12" s="230"/>
      <c r="J12" s="230"/>
    </row>
    <row r="13" spans="1:10">
      <c r="A13" s="245"/>
      <c r="B13" s="164"/>
      <c r="C13" s="172" t="s">
        <v>511</v>
      </c>
      <c r="D13" s="169">
        <v>348</v>
      </c>
      <c r="E13" s="173" t="s">
        <v>573</v>
      </c>
      <c r="F13" s="164"/>
      <c r="G13" s="164"/>
      <c r="H13" s="166"/>
      <c r="I13" s="230"/>
      <c r="J13" s="230"/>
    </row>
    <row r="14" spans="1:10">
      <c r="A14" s="245"/>
      <c r="B14" s="164"/>
      <c r="C14" s="168" t="s">
        <v>512</v>
      </c>
      <c r="D14" s="169">
        <v>400</v>
      </c>
      <c r="E14" s="173" t="s">
        <v>574</v>
      </c>
      <c r="F14" s="164"/>
      <c r="G14" s="164"/>
      <c r="H14" s="166"/>
      <c r="I14" s="230"/>
      <c r="J14" s="230"/>
    </row>
    <row r="15" spans="1:10">
      <c r="A15" s="245"/>
      <c r="B15" s="164"/>
      <c r="C15" s="168" t="s">
        <v>513</v>
      </c>
      <c r="D15" s="169">
        <v>25</v>
      </c>
      <c r="E15" s="173" t="s">
        <v>575</v>
      </c>
      <c r="F15" s="164"/>
      <c r="G15" s="164"/>
      <c r="H15" s="166"/>
      <c r="I15" s="230"/>
      <c r="J15" s="230"/>
    </row>
    <row r="16" spans="1:10">
      <c r="A16" s="245"/>
      <c r="B16" s="164"/>
      <c r="C16" s="174" t="s">
        <v>515</v>
      </c>
      <c r="D16" s="169">
        <v>1.6</v>
      </c>
      <c r="E16" s="173" t="s">
        <v>577</v>
      </c>
      <c r="F16" s="164"/>
      <c r="G16" s="164"/>
      <c r="H16" s="166"/>
      <c r="I16" s="230"/>
      <c r="J16" s="230"/>
    </row>
    <row r="17" spans="1:10">
      <c r="A17" s="245"/>
      <c r="B17" s="164"/>
      <c r="C17" s="168" t="s">
        <v>517</v>
      </c>
      <c r="D17" s="169">
        <v>0.2</v>
      </c>
      <c r="E17" s="173" t="s">
        <v>617</v>
      </c>
      <c r="F17" s="164"/>
      <c r="G17" s="164"/>
      <c r="H17" s="166"/>
      <c r="I17" s="230"/>
      <c r="J17" s="230"/>
    </row>
    <row r="18" spans="1:10">
      <c r="A18" s="245"/>
      <c r="B18" s="164"/>
      <c r="C18" s="168" t="s">
        <v>518</v>
      </c>
      <c r="D18" s="169">
        <v>0.03</v>
      </c>
      <c r="E18" s="173" t="s">
        <v>580</v>
      </c>
      <c r="F18" s="164"/>
      <c r="G18" s="164"/>
      <c r="H18" s="166"/>
      <c r="I18" s="230"/>
      <c r="J18" s="230"/>
    </row>
    <row r="19" spans="1:10">
      <c r="A19" s="245"/>
      <c r="B19" s="164"/>
      <c r="C19" s="172" t="s">
        <v>514</v>
      </c>
      <c r="D19" s="169">
        <v>1.5</v>
      </c>
      <c r="E19" s="173" t="s">
        <v>576</v>
      </c>
      <c r="F19" s="164"/>
      <c r="G19" s="164"/>
      <c r="H19" s="166"/>
      <c r="I19" s="230"/>
      <c r="J19" s="230"/>
    </row>
    <row r="20" spans="1:10">
      <c r="A20" s="245"/>
      <c r="B20" s="164"/>
      <c r="C20" s="174" t="s">
        <v>515</v>
      </c>
      <c r="D20" s="169">
        <v>1.6</v>
      </c>
      <c r="E20" s="173" t="s">
        <v>577</v>
      </c>
      <c r="F20" s="164"/>
      <c r="G20" s="164"/>
      <c r="H20" s="166"/>
      <c r="I20" s="230"/>
      <c r="J20" s="230"/>
    </row>
    <row r="21" spans="1:10">
      <c r="A21" s="245"/>
      <c r="B21" s="164"/>
      <c r="C21" s="168" t="s">
        <v>618</v>
      </c>
      <c r="D21" s="169">
        <v>0.65</v>
      </c>
      <c r="E21" s="173" t="s">
        <v>619</v>
      </c>
      <c r="F21" s="164"/>
      <c r="G21" s="164"/>
      <c r="H21" s="166"/>
      <c r="I21" s="230"/>
      <c r="J21" s="230"/>
    </row>
    <row r="22" spans="1:10">
      <c r="A22" s="245"/>
      <c r="B22" s="164"/>
      <c r="C22" s="168" t="s">
        <v>620</v>
      </c>
      <c r="D22" s="169">
        <v>2.2000000000000002</v>
      </c>
      <c r="E22" s="173" t="s">
        <v>621</v>
      </c>
      <c r="F22" s="164"/>
      <c r="G22" s="164"/>
      <c r="H22" s="166"/>
      <c r="I22" s="230"/>
      <c r="J22" s="230"/>
    </row>
    <row r="23" spans="1:10">
      <c r="A23" s="245"/>
      <c r="B23" s="164"/>
      <c r="C23" s="168" t="s">
        <v>622</v>
      </c>
      <c r="D23" s="169">
        <v>2.2999999999999998</v>
      </c>
      <c r="E23" s="173" t="s">
        <v>623</v>
      </c>
      <c r="F23" s="164"/>
      <c r="G23" s="164"/>
      <c r="H23" s="166"/>
      <c r="I23" s="230"/>
      <c r="J23" s="230"/>
    </row>
    <row r="24" spans="1:10">
      <c r="A24" s="245"/>
      <c r="B24" s="164"/>
      <c r="C24" s="172" t="s">
        <v>511</v>
      </c>
      <c r="D24" s="176">
        <f>MIN((2*D14/3),(110*SQRT(D16*D25)))</f>
        <v>201.63333057805698</v>
      </c>
      <c r="E24" s="173" t="s">
        <v>582</v>
      </c>
      <c r="F24" s="164"/>
      <c r="G24" s="164"/>
      <c r="H24" s="166"/>
      <c r="I24" s="230"/>
      <c r="J24" s="230"/>
    </row>
    <row r="25" spans="1:10">
      <c r="A25" s="245"/>
      <c r="B25" s="164"/>
      <c r="C25" s="168" t="s">
        <v>520</v>
      </c>
      <c r="D25" s="176">
        <f>0.6+0.06*D15</f>
        <v>2.1</v>
      </c>
      <c r="E25" s="173" t="s">
        <v>583</v>
      </c>
      <c r="F25" s="164"/>
      <c r="G25" s="164"/>
      <c r="H25" s="166"/>
      <c r="I25" s="230"/>
      <c r="J25" s="230"/>
    </row>
    <row r="26" spans="1:10" ht="15.75" thickBot="1">
      <c r="A26" s="245"/>
      <c r="B26" s="177"/>
      <c r="C26" s="178"/>
      <c r="D26" s="178"/>
      <c r="E26" s="178"/>
      <c r="F26" s="178"/>
      <c r="G26" s="178"/>
      <c r="H26" s="179"/>
      <c r="I26" s="230"/>
      <c r="J26" s="230"/>
    </row>
    <row r="27" spans="1:10" ht="15.75" thickTop="1">
      <c r="A27" s="245"/>
      <c r="B27" s="164"/>
      <c r="C27" s="164"/>
      <c r="D27" s="164"/>
      <c r="E27" s="164"/>
      <c r="F27" s="164"/>
      <c r="G27" s="164"/>
      <c r="H27" s="166"/>
      <c r="I27" s="230"/>
      <c r="J27" s="230"/>
    </row>
    <row r="28" spans="1:10">
      <c r="A28" s="245"/>
      <c r="B28" s="164"/>
      <c r="C28" s="164"/>
      <c r="D28" s="164"/>
      <c r="E28" s="180" t="s">
        <v>584</v>
      </c>
      <c r="F28" s="164"/>
      <c r="G28" s="164"/>
      <c r="H28" s="166"/>
      <c r="I28" s="230"/>
      <c r="J28" s="230"/>
    </row>
    <row r="29" spans="1:10">
      <c r="A29" s="245"/>
      <c r="B29" s="164"/>
      <c r="C29" s="164"/>
      <c r="D29" s="164"/>
      <c r="E29" s="164"/>
      <c r="F29" s="164"/>
      <c r="G29" s="164"/>
      <c r="H29" s="166"/>
      <c r="I29" s="230"/>
      <c r="J29" s="230"/>
    </row>
    <row r="30" spans="1:10">
      <c r="A30" s="245"/>
      <c r="B30" s="164"/>
      <c r="C30" s="164"/>
      <c r="D30" s="168" t="s">
        <v>536</v>
      </c>
      <c r="E30" s="176">
        <f>ABS(D5)*0.01/(D12*D22)</f>
        <v>0.59900826446280986</v>
      </c>
      <c r="F30" s="170" t="s">
        <v>624</v>
      </c>
      <c r="G30" s="164"/>
      <c r="H30" s="166"/>
      <c r="I30" s="230"/>
      <c r="J30" s="230"/>
    </row>
    <row r="31" spans="1:10">
      <c r="A31" s="245"/>
      <c r="B31" s="164"/>
      <c r="C31" s="193"/>
      <c r="D31" s="168" t="s">
        <v>537</v>
      </c>
      <c r="E31" s="169">
        <v>1.3</v>
      </c>
      <c r="F31" s="164"/>
      <c r="G31" s="164"/>
      <c r="H31" s="166"/>
      <c r="I31" s="230"/>
      <c r="J31" s="230"/>
    </row>
    <row r="32" spans="1:10">
      <c r="A32" s="245"/>
      <c r="B32" s="164"/>
      <c r="C32" s="164"/>
      <c r="D32" s="168" t="s">
        <v>540</v>
      </c>
      <c r="E32" s="176">
        <f>((E31-D17)/4)+D18</f>
        <v>0.30500000000000005</v>
      </c>
      <c r="F32" s="170" t="s">
        <v>592</v>
      </c>
      <c r="G32" s="164"/>
      <c r="H32" s="166"/>
      <c r="I32" s="230"/>
      <c r="J32" s="230"/>
    </row>
    <row r="33" spans="1:10">
      <c r="A33" s="245"/>
      <c r="B33" s="164"/>
      <c r="C33" s="164"/>
      <c r="D33" s="168" t="s">
        <v>541</v>
      </c>
      <c r="E33" s="169">
        <v>0.35</v>
      </c>
      <c r="F33" s="164"/>
      <c r="G33" s="164"/>
      <c r="H33" s="166"/>
      <c r="I33" s="230"/>
      <c r="J33" s="230"/>
    </row>
    <row r="34" spans="1:10">
      <c r="A34" s="245"/>
      <c r="B34" s="164"/>
      <c r="C34" s="164"/>
      <c r="D34" s="164"/>
      <c r="E34" s="164"/>
      <c r="F34" s="164"/>
      <c r="G34" s="164"/>
      <c r="H34" s="166"/>
      <c r="I34" s="230"/>
      <c r="J34" s="230"/>
    </row>
    <row r="35" spans="1:10">
      <c r="A35" s="245"/>
      <c r="B35" s="164"/>
      <c r="C35" s="180" t="s">
        <v>521</v>
      </c>
      <c r="D35" s="164"/>
      <c r="E35" s="164"/>
      <c r="F35" s="164"/>
      <c r="G35" s="164"/>
      <c r="H35" s="166"/>
      <c r="I35" s="230"/>
      <c r="J35" s="230"/>
    </row>
    <row r="36" spans="1:10">
      <c r="A36" s="245"/>
      <c r="B36" s="164"/>
      <c r="C36" s="164"/>
      <c r="D36" s="164"/>
      <c r="E36" s="164"/>
      <c r="F36" s="164"/>
      <c r="G36" s="164"/>
      <c r="H36" s="166"/>
      <c r="I36" s="230"/>
      <c r="J36" s="230"/>
    </row>
    <row r="37" spans="1:10">
      <c r="A37" s="245"/>
      <c r="B37" s="164"/>
      <c r="C37" s="164"/>
      <c r="D37" s="168" t="s">
        <v>542</v>
      </c>
      <c r="E37" s="176">
        <f>ABS(D5)+(2.5*D17*D21*D22)+(2.5*E31*D23*E33)+2*(E31*(E33+D21)*D23 -(D17*D21*D22)-(E31*D23*E33))</f>
        <v>26.413522727272728</v>
      </c>
      <c r="F37" s="164"/>
      <c r="G37" s="164"/>
      <c r="H37" s="166"/>
      <c r="I37" s="230"/>
      <c r="J37" s="230"/>
    </row>
    <row r="38" spans="1:10">
      <c r="A38" s="245"/>
      <c r="B38" s="164"/>
      <c r="C38" s="164"/>
      <c r="D38" s="172" t="s">
        <v>543</v>
      </c>
      <c r="E38" s="176">
        <f>E37*0.01/(E31*D22)</f>
        <v>9.2354974570883652E-2</v>
      </c>
      <c r="F38" s="219" t="str">
        <f>IF(E38&lt;D12,"Vérifiée","Augmenter B")</f>
        <v>Vérifiée</v>
      </c>
      <c r="G38" s="164"/>
      <c r="H38" s="166"/>
      <c r="I38" s="230"/>
      <c r="J38" s="230"/>
    </row>
    <row r="39" spans="1:10">
      <c r="A39" s="245"/>
      <c r="B39" s="175"/>
      <c r="C39" s="164"/>
      <c r="D39" s="164"/>
      <c r="E39" s="165"/>
      <c r="F39" s="164"/>
      <c r="G39" s="164"/>
      <c r="H39" s="166"/>
      <c r="I39" s="230"/>
      <c r="J39" s="230"/>
    </row>
    <row r="40" spans="1:10">
      <c r="A40" s="245"/>
      <c r="B40" s="175"/>
      <c r="C40" s="180" t="s">
        <v>522</v>
      </c>
      <c r="D40" s="164"/>
      <c r="E40" s="164"/>
      <c r="F40" s="164"/>
      <c r="G40" s="164"/>
      <c r="H40" s="166"/>
      <c r="I40" s="230"/>
      <c r="J40" s="230"/>
    </row>
    <row r="41" spans="1:10">
      <c r="A41" s="245"/>
      <c r="B41" s="164"/>
      <c r="C41" s="164"/>
      <c r="D41" s="164"/>
      <c r="E41" s="164"/>
      <c r="F41" s="215"/>
      <c r="G41" s="164"/>
      <c r="H41" s="166"/>
      <c r="I41" s="230"/>
      <c r="J41" s="230"/>
    </row>
    <row r="42" spans="1:10">
      <c r="A42" s="245"/>
      <c r="B42" s="175"/>
      <c r="C42" s="164"/>
      <c r="D42" s="205" t="s">
        <v>544</v>
      </c>
      <c r="E42" s="164"/>
      <c r="F42" s="164"/>
      <c r="G42" s="164"/>
      <c r="H42" s="166"/>
      <c r="I42" s="230"/>
      <c r="J42" s="230"/>
    </row>
    <row r="43" spans="1:10" ht="15.75" thickBot="1">
      <c r="A43" s="245"/>
      <c r="B43" s="175"/>
      <c r="C43" s="164"/>
      <c r="D43" s="164"/>
      <c r="E43" s="164"/>
      <c r="F43" s="164"/>
      <c r="G43" s="164"/>
      <c r="H43" s="166"/>
      <c r="I43" s="230"/>
      <c r="J43" s="230"/>
    </row>
    <row r="44" spans="1:10" ht="15.75" thickBot="1">
      <c r="A44" s="245"/>
      <c r="B44" s="209" t="s">
        <v>625</v>
      </c>
      <c r="C44" s="194"/>
      <c r="D44" s="206" t="s">
        <v>626</v>
      </c>
      <c r="E44" s="211"/>
      <c r="F44" s="220" t="s">
        <v>627</v>
      </c>
      <c r="G44" s="223"/>
      <c r="H44" s="166"/>
      <c r="I44" s="230"/>
      <c r="J44" s="230"/>
    </row>
    <row r="45" spans="1:10" ht="15.75" thickBot="1">
      <c r="A45" s="245"/>
      <c r="B45" s="221" t="s">
        <v>477</v>
      </c>
      <c r="C45" s="195">
        <f>4*ABS(D9/D8)</f>
        <v>0.15107900677200903</v>
      </c>
      <c r="D45" s="207" t="s">
        <v>477</v>
      </c>
      <c r="E45" s="195">
        <f>4*ABS(D11/D10)</f>
        <v>0.13454018955577859</v>
      </c>
      <c r="F45" s="221" t="s">
        <v>477</v>
      </c>
      <c r="G45" s="195">
        <f>4*ABS(D7/D6)</f>
        <v>3.4966468897591474E-2</v>
      </c>
      <c r="H45" s="166"/>
      <c r="I45" s="230"/>
      <c r="J45" s="230"/>
    </row>
    <row r="46" spans="1:10" ht="15.75" thickBot="1">
      <c r="A46" s="245"/>
      <c r="B46" s="221" t="s">
        <v>478</v>
      </c>
      <c r="C46" s="196" t="str">
        <f>IF(E31&gt;=C45,"Vérifiée","N vérifiée")</f>
        <v>Vérifiée</v>
      </c>
      <c r="D46" s="207" t="s">
        <v>478</v>
      </c>
      <c r="E46" s="196" t="str">
        <f>IF(E31&gt;=E45,"Vérifiée","N vérifiée")</f>
        <v>Vérifiée</v>
      </c>
      <c r="F46" s="221" t="s">
        <v>478</v>
      </c>
      <c r="G46" s="196" t="str">
        <f>IF(E31&gt;=G45,"Vérifiée","N vérifiée")</f>
        <v>Vérifiée</v>
      </c>
      <c r="H46" s="166"/>
      <c r="I46" s="230"/>
      <c r="J46" s="230"/>
    </row>
    <row r="47" spans="1:10">
      <c r="A47" s="245"/>
      <c r="B47" s="175"/>
      <c r="C47" s="164"/>
      <c r="D47" s="164"/>
      <c r="E47" s="164"/>
      <c r="F47" s="164"/>
      <c r="G47" s="164"/>
      <c r="H47" s="166"/>
      <c r="I47" s="230"/>
      <c r="J47" s="230"/>
    </row>
    <row r="48" spans="1:10">
      <c r="A48" s="245"/>
      <c r="B48" s="175"/>
      <c r="C48" s="164"/>
      <c r="D48" s="208" t="s">
        <v>547</v>
      </c>
      <c r="E48" s="164"/>
      <c r="F48" s="164"/>
      <c r="G48" s="164"/>
      <c r="H48" s="166"/>
      <c r="I48" s="230"/>
      <c r="J48" s="230"/>
    </row>
    <row r="49" spans="1:10" ht="15.75" thickBot="1">
      <c r="A49" s="245"/>
      <c r="B49" s="175"/>
      <c r="C49" s="198"/>
      <c r="D49" s="198"/>
      <c r="E49" s="198"/>
      <c r="F49" s="198"/>
      <c r="G49" s="198"/>
      <c r="H49" s="166"/>
      <c r="I49" s="230"/>
      <c r="J49" s="230"/>
    </row>
    <row r="50" spans="1:10" ht="15.75" thickBot="1">
      <c r="A50" s="245"/>
      <c r="B50" s="209" t="s">
        <v>628</v>
      </c>
      <c r="C50" s="194"/>
      <c r="D50" s="209" t="s">
        <v>626</v>
      </c>
      <c r="E50" s="194"/>
      <c r="F50" s="209" t="s">
        <v>627</v>
      </c>
      <c r="G50" s="194"/>
      <c r="H50" s="166"/>
      <c r="I50" s="230"/>
      <c r="J50" s="230"/>
    </row>
    <row r="51" spans="1:10" ht="15.75" thickBot="1">
      <c r="A51" s="245"/>
      <c r="B51" s="210" t="s">
        <v>482</v>
      </c>
      <c r="C51" s="199">
        <f>IF(ABS(((D8/(E31*D23))*(1+(6*D9/(D8*E31))))*0.01)&gt;ABS(((D8/(E31*D23))*(1-(6*D9/(D8*E31))))*0.01),(((D8/(E31*D23))*(1+(6*D9/(D8*E31))))*0.01),(((D8/(E31*D23))*(1-(6*D9/(D8*E31))))*0.01))</f>
        <v>0.1779424421732114</v>
      </c>
      <c r="D51" s="210" t="s">
        <v>482</v>
      </c>
      <c r="E51" s="199">
        <f>IF(ABS(((D10/(E31*D23))*(1+(6*D11/(D10*E31))))*0.01)&gt;ABS(((D10/(E31*D23))*(1-(6*D11/(D10*E31))))*0.01),(((D10/(E31*D23))*(1+(6*D11/(D10*E31))))*0.01),(((D10/(E31*D23))*(1-(6*D11/(D10*E31))))*0.01))</f>
        <v>0.19771300605748768</v>
      </c>
      <c r="F51" s="210" t="s">
        <v>482</v>
      </c>
      <c r="G51" s="199">
        <f>IF(ABS(((D6/(E31*D23))*(1+(6*D7/(D6*E31))))*0.01)&gt;ABS(((D6/(E31*D23))*(1-(6*D7/(D6*E31))))*0.01),(((D6/(E31*D23))*(1+(6*D7/(D6*E31))))*0.01),(((D6/(E31*D23))*(1-(6*D7/(D6*E31))))*0.01))</f>
        <v>9.4097691606052816E-2</v>
      </c>
      <c r="H51" s="166"/>
      <c r="I51" s="230"/>
      <c r="J51" s="230"/>
    </row>
    <row r="52" spans="1:10" ht="15.75" thickBot="1">
      <c r="A52" s="245"/>
      <c r="B52" s="210" t="s">
        <v>483</v>
      </c>
      <c r="C52" s="199">
        <f>IF(ABS(((D8/(E31*D23))*(1+(6*D9/(D8*E31))))*0.01)&lt;ABS(((D8/(E31*D23))*(1-(6*D9/(D8*E31))))*0.01),(((D8/(E31*D23))*(1+(6*D9/(D8*E31))))*0.01),(((D8/(E31*D23))*(1-(6*D9/(D8*E31))))*0.01))</f>
        <v>0.12511319783895034</v>
      </c>
      <c r="D52" s="210" t="s">
        <v>483</v>
      </c>
      <c r="E52" s="199">
        <f>IF(ABS(((D10/(E31*D23))*(1+(6*D11/(D10*E31))))*0.01)&lt;ABS(((D10/(E31*D23))*(1-(6*D11/(D10*E31))))*0.01),(((D10/(E31*D23))*(1+(6*D11/(D10*E31))))*0.01),(((D10/(E31*D23))*(1-(6*D11/(D10*E31))))*0.01))</f>
        <v>0.14457644362326635</v>
      </c>
      <c r="F52" s="210" t="s">
        <v>483</v>
      </c>
      <c r="G52" s="199">
        <f>IF(ABS(((D6/(E31*D23))*(1+(6*D7/(D6*E31))))*0.01)&lt;ABS(((D6/(E31*D23))*(1-(6*D7/(D6*E31))))*0.01),(((D6/(E31*D23))*(1+(6*D7/(D6*E31))))*0.01),(((D6/(E31*D23))*(1-(6*D7/(D6*E31))))*0.01))</f>
        <v>8.6799237551745914E-2</v>
      </c>
      <c r="H52" s="166"/>
      <c r="I52" s="230"/>
      <c r="J52" s="230"/>
    </row>
    <row r="53" spans="1:10" ht="15.75" thickBot="1">
      <c r="A53" s="245"/>
      <c r="B53" s="249" t="str">
        <f>IF(C51&gt;=0,IF(C52&lt;0,"Diagramme triangulaire","Diagramme trapézoidale"),IF(C51&lt;0,IF(C52&gt;=0,"Diagramme triangulaire","Diagramme trapézoidale")))</f>
        <v>Diagramme trapézoidale</v>
      </c>
      <c r="C53" s="194"/>
      <c r="D53" s="249" t="str">
        <f>IF(E51&gt;=0,IF(E52&lt;0,"Diagramme triangulaire","Diagramme trapézoidale"),IF(E51&lt;0,IF(E52&gt;=0,"Diagramme triangulaire","Diagramme trapézoidale")))</f>
        <v>Diagramme trapézoidale</v>
      </c>
      <c r="E53" s="194"/>
      <c r="F53" s="249" t="str">
        <f>IF(G51&gt;=0,IF(G52&lt;0,"Diagramme triangulaire","Diagramme trapézoidale"),IF(G51&lt;0,IF(G52&gt;=0,"Diagramme triangulaire","Diagramme trapézoidale")))</f>
        <v>Diagramme trapézoidale</v>
      </c>
      <c r="G53" s="194"/>
      <c r="H53" s="166"/>
      <c r="I53" s="230"/>
      <c r="J53" s="230"/>
    </row>
    <row r="54" spans="1:10" ht="15.75" thickBot="1">
      <c r="A54" s="245"/>
      <c r="B54" s="210" t="s">
        <v>484</v>
      </c>
      <c r="C54" s="199">
        <f>IF(C51&gt;=0,IF(C52&lt;0,(2*C51/3),((3*C51+C52)/4)),IF(C51&lt;0,IF(C52&gt;=0,(2*C51/3),((3*C51+C52)/4))))</f>
        <v>0.16473513108964613</v>
      </c>
      <c r="D54" s="210" t="s">
        <v>484</v>
      </c>
      <c r="E54" s="199">
        <f>IF(E51&gt;=0,IF(E52&lt;0,(2*E51/3),((3*E51+E52)/4)),IF(E51&lt;0,IF(E52&gt;=0,(2*E51/3),((3*E51+E52)/4))))</f>
        <v>0.18442886544893236</v>
      </c>
      <c r="F54" s="210" t="s">
        <v>484</v>
      </c>
      <c r="G54" s="199">
        <f>IF(G51&gt;=0,IF(G52&lt;0,(2*G51/3),((3*G51+G52)/4)),IF(G51&lt;0,IF(G52&gt;=0,(2*G51/3),((3*G51+G52)/4))))</f>
        <v>9.2273078092476091E-2</v>
      </c>
      <c r="H54" s="166"/>
      <c r="I54" s="230"/>
      <c r="J54" s="230"/>
    </row>
    <row r="55" spans="1:10" ht="15.75" thickBot="1">
      <c r="A55" s="245"/>
      <c r="B55" s="211" t="s">
        <v>485</v>
      </c>
      <c r="C55" s="200" t="str">
        <f>IF((2*D12)&gt;=ABS(C54),"Vérifiée","N vérifiée")</f>
        <v>Vérifiée</v>
      </c>
      <c r="D55" s="211" t="s">
        <v>485</v>
      </c>
      <c r="E55" s="200" t="str">
        <f>IF((2*D12)&gt;=ABS(E54),"Vérifiée","N vérifiée")</f>
        <v>Vérifiée</v>
      </c>
      <c r="F55" s="211" t="s">
        <v>485</v>
      </c>
      <c r="G55" s="200" t="str">
        <f>IF((2*D12)&gt;=ABS(G54),"Vérifiée","N vérifiée")</f>
        <v>Vérifiée</v>
      </c>
      <c r="H55" s="166"/>
      <c r="I55" s="230"/>
      <c r="J55" s="230"/>
    </row>
    <row r="56" spans="1:10">
      <c r="A56" s="245"/>
      <c r="B56" s="168"/>
      <c r="C56" s="197"/>
      <c r="D56" s="168"/>
      <c r="E56" s="197"/>
      <c r="F56" s="168"/>
      <c r="G56" s="197"/>
      <c r="H56" s="166"/>
      <c r="I56" s="250"/>
      <c r="J56" s="251"/>
    </row>
    <row r="57" spans="1:10">
      <c r="A57" s="245"/>
      <c r="B57" s="164"/>
      <c r="C57" s="252"/>
      <c r="D57" s="252"/>
      <c r="E57" s="208" t="s">
        <v>629</v>
      </c>
      <c r="F57" s="252"/>
      <c r="G57" s="252"/>
      <c r="H57" s="253"/>
      <c r="I57" s="250"/>
      <c r="J57" s="251"/>
    </row>
    <row r="58" spans="1:10">
      <c r="A58" s="245"/>
      <c r="B58" s="164"/>
      <c r="C58" s="252"/>
      <c r="D58" s="252"/>
      <c r="E58" s="252"/>
      <c r="F58" s="252"/>
      <c r="G58" s="252"/>
      <c r="H58" s="253"/>
      <c r="I58" s="250"/>
      <c r="J58" s="251"/>
    </row>
    <row r="59" spans="1:10" ht="15.75">
      <c r="A59" s="245"/>
      <c r="B59" s="254" t="s">
        <v>630</v>
      </c>
      <c r="C59" s="679" t="s">
        <v>631</v>
      </c>
      <c r="D59" s="679"/>
      <c r="E59" s="252"/>
      <c r="F59" s="252"/>
      <c r="G59" s="252"/>
      <c r="H59" s="253"/>
      <c r="I59" s="255"/>
      <c r="J59" s="251"/>
    </row>
    <row r="60" spans="1:10">
      <c r="A60" s="245"/>
      <c r="B60" s="254" t="s">
        <v>632</v>
      </c>
      <c r="C60" s="256" t="s">
        <v>633</v>
      </c>
      <c r="D60" s="257"/>
      <c r="E60" s="252"/>
      <c r="F60" s="252"/>
      <c r="G60" s="252"/>
      <c r="H60" s="253"/>
      <c r="I60" s="250"/>
      <c r="J60" s="251"/>
    </row>
    <row r="61" spans="1:10">
      <c r="A61" s="245"/>
      <c r="B61" s="254" t="s">
        <v>634</v>
      </c>
      <c r="C61" s="256" t="s">
        <v>635</v>
      </c>
      <c r="D61" s="257"/>
      <c r="E61" s="252"/>
      <c r="F61" s="252"/>
      <c r="G61" s="252"/>
      <c r="H61" s="253"/>
      <c r="I61" s="250"/>
      <c r="J61" s="251"/>
    </row>
    <row r="62" spans="1:10">
      <c r="A62" s="245"/>
      <c r="B62" s="254" t="s">
        <v>636</v>
      </c>
      <c r="C62" s="256" t="s">
        <v>637</v>
      </c>
      <c r="D62" s="257"/>
      <c r="E62" s="252"/>
      <c r="F62" s="252"/>
      <c r="G62" s="252"/>
      <c r="H62" s="253"/>
      <c r="I62" s="250"/>
      <c r="J62" s="251"/>
    </row>
    <row r="63" spans="1:10">
      <c r="A63" s="245"/>
      <c r="B63" s="258" t="s">
        <v>638</v>
      </c>
      <c r="C63" s="259"/>
      <c r="D63" s="256" t="s">
        <v>639</v>
      </c>
      <c r="E63" s="256"/>
      <c r="F63" s="252"/>
      <c r="G63" s="252"/>
      <c r="H63" s="253"/>
      <c r="I63" s="260"/>
      <c r="J63" s="230"/>
    </row>
    <row r="64" spans="1:10">
      <c r="A64" s="245"/>
      <c r="B64" s="261" t="s">
        <v>340</v>
      </c>
      <c r="C64" s="261" t="s">
        <v>632</v>
      </c>
      <c r="D64" s="261" t="s">
        <v>640</v>
      </c>
      <c r="E64" s="261" t="s">
        <v>641</v>
      </c>
      <c r="F64" s="261" t="s">
        <v>642</v>
      </c>
      <c r="G64" s="262" t="s">
        <v>643</v>
      </c>
      <c r="H64" s="263" t="s">
        <v>644</v>
      </c>
      <c r="I64" s="250"/>
      <c r="J64" s="230"/>
    </row>
    <row r="65" spans="1:10">
      <c r="A65" s="245"/>
      <c r="B65" s="262">
        <f>MAX(D5,E37)</f>
        <v>26.413522727272728</v>
      </c>
      <c r="C65" s="262">
        <v>1.5</v>
      </c>
      <c r="D65" s="262">
        <f>D21+E33</f>
        <v>1</v>
      </c>
      <c r="E65" s="262">
        <f>E31*D23</f>
        <v>2.9899999999999998</v>
      </c>
      <c r="F65" s="262">
        <v>10</v>
      </c>
      <c r="G65" s="264">
        <f>F65*E65*D65*C65</f>
        <v>44.849999999999994</v>
      </c>
      <c r="H65" s="265" t="str">
        <f>IF(B65&gt;=G65,"vérifié","non vérifié")</f>
        <v>non vérifié</v>
      </c>
      <c r="I65" s="230"/>
      <c r="J65" s="230"/>
    </row>
    <row r="66" spans="1:10">
      <c r="A66" s="245"/>
      <c r="B66" s="168"/>
      <c r="C66" s="197"/>
      <c r="D66" s="168"/>
      <c r="E66" s="197"/>
      <c r="F66" s="168"/>
      <c r="G66" s="197"/>
      <c r="H66" s="166"/>
      <c r="I66" s="230"/>
      <c r="J66" s="230"/>
    </row>
    <row r="67" spans="1:10">
      <c r="A67" s="245"/>
      <c r="B67" s="164"/>
      <c r="C67" s="164"/>
      <c r="D67" s="164"/>
      <c r="E67" s="164"/>
      <c r="F67" s="164"/>
      <c r="G67" s="164"/>
      <c r="H67" s="166"/>
      <c r="I67" s="230"/>
      <c r="J67" s="230"/>
    </row>
    <row r="68" spans="1:10">
      <c r="A68" s="245"/>
      <c r="B68" s="164"/>
      <c r="C68" s="164"/>
      <c r="D68" s="164"/>
      <c r="E68" s="180" t="s">
        <v>588</v>
      </c>
      <c r="F68" s="164"/>
      <c r="G68" s="164"/>
      <c r="H68" s="166"/>
      <c r="I68" s="230"/>
      <c r="J68" s="230"/>
    </row>
    <row r="69" spans="1:10">
      <c r="A69" s="245"/>
      <c r="B69" s="164"/>
      <c r="C69" s="266" t="s">
        <v>645</v>
      </c>
      <c r="D69" s="164"/>
      <c r="E69" s="164"/>
      <c r="F69" s="266" t="s">
        <v>646</v>
      </c>
      <c r="G69" s="164"/>
      <c r="H69" s="166"/>
      <c r="I69" s="230"/>
      <c r="J69" s="230"/>
    </row>
    <row r="70" spans="1:10">
      <c r="A70" s="245"/>
      <c r="B70" s="164"/>
      <c r="C70" s="164"/>
      <c r="D70" s="214" t="s">
        <v>167</v>
      </c>
      <c r="E70" s="164"/>
      <c r="F70" s="164"/>
      <c r="G70" s="214" t="s">
        <v>167</v>
      </c>
      <c r="H70" s="166"/>
      <c r="I70" s="230"/>
      <c r="J70" s="230"/>
    </row>
    <row r="71" spans="1:10">
      <c r="A71" s="245"/>
      <c r="B71" s="164"/>
      <c r="C71" s="168" t="s">
        <v>533</v>
      </c>
      <c r="D71" s="176">
        <f>MAX(ABS(D6),E37)*(E31-D17)*100/(8*(E33-D18)*D13)</f>
        <v>3.3392263829022997</v>
      </c>
      <c r="E71" s="164"/>
      <c r="F71" s="168" t="s">
        <v>647</v>
      </c>
      <c r="G71" s="176">
        <f>D71/4</f>
        <v>0.83480659572557492</v>
      </c>
      <c r="H71" s="166"/>
      <c r="I71" s="230"/>
      <c r="J71" s="230"/>
    </row>
    <row r="72" spans="1:10">
      <c r="A72" s="245"/>
      <c r="B72" s="164"/>
      <c r="C72" s="197"/>
      <c r="D72" s="214" t="s">
        <v>597</v>
      </c>
      <c r="E72" s="164"/>
      <c r="F72" s="197"/>
      <c r="G72" s="214" t="s">
        <v>597</v>
      </c>
      <c r="H72" s="166"/>
      <c r="I72" s="230"/>
      <c r="J72" s="230"/>
    </row>
    <row r="73" spans="1:10">
      <c r="A73" s="245"/>
      <c r="B73" s="164"/>
      <c r="C73" s="168" t="s">
        <v>533</v>
      </c>
      <c r="D73" s="176">
        <f>MAX(ABS(D5),E37)*(E31-D17)*100/(8*(E33-D18)*D24)</f>
        <v>5.6288117219198144</v>
      </c>
      <c r="E73" s="164"/>
      <c r="F73" s="168" t="s">
        <v>647</v>
      </c>
      <c r="G73" s="176">
        <f>D73/4</f>
        <v>1.4072029304799536</v>
      </c>
      <c r="H73" s="166"/>
      <c r="I73" s="230"/>
      <c r="J73" s="230"/>
    </row>
    <row r="74" spans="1:10">
      <c r="A74" s="245"/>
      <c r="B74" s="175"/>
      <c r="C74" s="164"/>
      <c r="D74" s="164"/>
      <c r="E74" s="164"/>
      <c r="F74" s="164"/>
      <c r="G74" s="164"/>
      <c r="H74" s="166"/>
      <c r="I74" s="230"/>
      <c r="J74" s="230"/>
    </row>
    <row r="75" spans="1:10">
      <c r="A75" s="245"/>
      <c r="B75" s="164"/>
      <c r="C75" s="164"/>
      <c r="D75" s="168" t="s">
        <v>648</v>
      </c>
      <c r="E75" s="176">
        <f>2*D22</f>
        <v>4.4000000000000004</v>
      </c>
      <c r="F75" s="164"/>
      <c r="G75" s="164"/>
      <c r="H75" s="166"/>
      <c r="I75" s="230"/>
      <c r="J75" s="230"/>
    </row>
    <row r="76" spans="1:10">
      <c r="A76" s="245"/>
      <c r="B76" s="164"/>
      <c r="C76" s="164"/>
      <c r="D76" s="168"/>
      <c r="E76" s="176"/>
      <c r="F76" s="164"/>
      <c r="G76" s="164"/>
      <c r="H76" s="166"/>
      <c r="I76" s="230"/>
      <c r="J76" s="230"/>
    </row>
    <row r="77" spans="1:10">
      <c r="A77" s="245"/>
      <c r="B77" s="164"/>
      <c r="C77" s="164"/>
      <c r="D77" s="168"/>
      <c r="E77" s="176"/>
      <c r="F77" s="164"/>
      <c r="G77" s="164"/>
      <c r="H77" s="166"/>
      <c r="I77" s="230"/>
      <c r="J77" s="230"/>
    </row>
    <row r="78" spans="1:10">
      <c r="A78" s="245"/>
      <c r="B78" s="164"/>
      <c r="C78" s="164"/>
      <c r="D78" s="180" t="s">
        <v>552</v>
      </c>
      <c r="E78" s="193"/>
      <c r="F78" s="164"/>
      <c r="G78" s="164"/>
      <c r="H78" s="166"/>
      <c r="I78" s="230"/>
      <c r="J78" s="230"/>
    </row>
    <row r="79" spans="1:10">
      <c r="A79" s="245"/>
      <c r="B79" s="164"/>
      <c r="C79" s="164"/>
      <c r="D79" s="164"/>
      <c r="E79" s="164"/>
      <c r="F79" s="164"/>
      <c r="G79" s="164"/>
      <c r="H79" s="166"/>
      <c r="I79" s="230"/>
      <c r="J79" s="230"/>
    </row>
    <row r="80" spans="1:10">
      <c r="A80" s="245"/>
      <c r="B80" s="164"/>
      <c r="C80" s="164"/>
      <c r="D80" s="168" t="s">
        <v>553</v>
      </c>
      <c r="E80" s="169">
        <v>14</v>
      </c>
      <c r="F80" s="164"/>
      <c r="G80" s="164"/>
      <c r="H80" s="166"/>
      <c r="I80" s="230"/>
      <c r="J80" s="230"/>
    </row>
    <row r="81" spans="1:10">
      <c r="A81" s="245"/>
      <c r="B81" s="164"/>
      <c r="C81" s="164"/>
      <c r="D81" s="168" t="s">
        <v>554</v>
      </c>
      <c r="E81" s="176">
        <f>0.6*D19^2*D25</f>
        <v>2.835</v>
      </c>
      <c r="F81" s="164"/>
      <c r="G81" s="164"/>
      <c r="H81" s="166"/>
      <c r="I81" s="230"/>
      <c r="J81" s="230"/>
    </row>
    <row r="82" spans="1:10">
      <c r="A82" s="245"/>
      <c r="B82" s="164"/>
      <c r="C82" s="164"/>
      <c r="D82" s="168" t="s">
        <v>555</v>
      </c>
      <c r="E82" s="176">
        <f>D14*E80*0.001/(4*E81)</f>
        <v>0.49382716049382719</v>
      </c>
      <c r="F82" s="164"/>
      <c r="G82" s="164"/>
      <c r="H82" s="166"/>
      <c r="I82" s="230"/>
      <c r="J82" s="230"/>
    </row>
    <row r="83" spans="1:10">
      <c r="A83" s="245"/>
      <c r="B83" s="164"/>
      <c r="C83" s="164"/>
      <c r="D83" s="164"/>
      <c r="E83" s="164"/>
      <c r="F83" s="164"/>
      <c r="G83" s="164"/>
      <c r="H83" s="166"/>
      <c r="I83" s="230"/>
      <c r="J83" s="230"/>
    </row>
    <row r="84" spans="1:10">
      <c r="A84" s="245"/>
      <c r="B84" s="164"/>
      <c r="C84" s="170"/>
      <c r="D84" s="170" t="s">
        <v>649</v>
      </c>
      <c r="E84" s="164"/>
      <c r="F84" s="164"/>
      <c r="G84" s="164"/>
      <c r="H84" s="166"/>
      <c r="I84" s="230"/>
      <c r="J84" s="230"/>
    </row>
    <row r="85" spans="1:10">
      <c r="A85" s="245"/>
      <c r="B85" s="164"/>
      <c r="C85" s="204"/>
      <c r="D85" s="180" t="s">
        <v>557</v>
      </c>
      <c r="E85" s="164"/>
      <c r="F85" s="164"/>
      <c r="G85" s="164"/>
      <c r="H85" s="166"/>
      <c r="I85" s="230"/>
      <c r="J85" s="230"/>
    </row>
    <row r="86" spans="1:10">
      <c r="A86" s="245"/>
      <c r="B86" s="164"/>
      <c r="C86" s="164"/>
      <c r="D86" s="164"/>
      <c r="E86" s="164"/>
      <c r="F86" s="164"/>
      <c r="G86" s="164"/>
      <c r="H86" s="166"/>
      <c r="I86" s="230"/>
      <c r="J86" s="230"/>
    </row>
    <row r="87" spans="1:10">
      <c r="A87" s="245"/>
      <c r="B87" s="267" t="str">
        <f>IF(E82&gt;(0.25*E31),"Les barres doivent êtres jusqu'aux extrimitées et comportées des ancrages courbes",IF(E82&gt;(0.125*E31),IF(E82&lt;=(0.25*E31),"Les barres sont prolongées jusqu'aux extrimitées mais peuvent êtres droites",IF(E82&lt;=(0.125*E31),"Les barres doivent êtres droites, et on peut arreter une barre sur deux à une longueur égale à 0,71B, ou altérner des barres de 0,86B"))))</f>
        <v>Les barres doivent êtres jusqu'aux extrimitées et comportées des ancrages courbes</v>
      </c>
      <c r="C87" s="164"/>
      <c r="D87" s="164"/>
      <c r="E87" s="164"/>
      <c r="F87" s="164"/>
      <c r="G87" s="164"/>
      <c r="H87" s="166"/>
      <c r="I87" s="230"/>
      <c r="J87" s="230"/>
    </row>
    <row r="88" spans="1:10">
      <c r="A88" s="245"/>
      <c r="B88" s="164"/>
      <c r="C88" s="164"/>
      <c r="D88" s="168"/>
      <c r="E88" s="176"/>
      <c r="F88" s="164"/>
      <c r="G88" s="164"/>
      <c r="H88" s="166"/>
      <c r="I88" s="230"/>
      <c r="J88" s="230"/>
    </row>
    <row r="89" spans="1:10">
      <c r="A89" s="245"/>
      <c r="B89" s="164"/>
      <c r="C89" s="164"/>
      <c r="D89" s="168"/>
      <c r="E89" s="176"/>
      <c r="F89" s="164"/>
      <c r="G89" s="164"/>
      <c r="H89" s="166"/>
      <c r="I89" s="230"/>
      <c r="J89" s="230"/>
    </row>
    <row r="90" spans="1:10">
      <c r="A90" s="245"/>
      <c r="B90" s="164"/>
      <c r="C90" s="164"/>
      <c r="D90" s="168"/>
      <c r="E90" s="176"/>
      <c r="F90" s="164"/>
      <c r="G90" s="164"/>
      <c r="H90" s="166"/>
      <c r="I90" s="230"/>
      <c r="J90" s="230"/>
    </row>
    <row r="91" spans="1:10">
      <c r="A91" s="245"/>
      <c r="B91" s="164"/>
      <c r="C91" s="164"/>
      <c r="D91" s="168"/>
      <c r="E91" s="176"/>
      <c r="F91" s="164"/>
      <c r="G91" s="164"/>
      <c r="H91" s="166"/>
      <c r="I91" s="230"/>
      <c r="J91" s="230"/>
    </row>
    <row r="92" spans="1:10">
      <c r="A92" s="245"/>
      <c r="B92" s="164"/>
      <c r="C92" s="164"/>
      <c r="D92" s="168"/>
      <c r="E92" s="176"/>
      <c r="F92" s="164"/>
      <c r="G92" s="164"/>
      <c r="H92" s="166"/>
      <c r="I92" s="230"/>
      <c r="J92" s="230"/>
    </row>
    <row r="93" spans="1:10">
      <c r="A93" s="245"/>
      <c r="B93" s="164"/>
      <c r="C93" s="164"/>
      <c r="D93" s="168"/>
      <c r="E93" s="176"/>
      <c r="F93" s="164"/>
      <c r="G93" s="164"/>
      <c r="H93" s="166"/>
      <c r="I93" s="230"/>
      <c r="J93" s="230"/>
    </row>
    <row r="94" spans="1:10">
      <c r="A94" s="245"/>
      <c r="B94" s="164"/>
      <c r="C94" s="164"/>
      <c r="D94" s="168"/>
      <c r="E94" s="176"/>
      <c r="F94" s="164"/>
      <c r="G94" s="164"/>
      <c r="H94" s="166"/>
      <c r="I94" s="230"/>
      <c r="J94" s="230"/>
    </row>
    <row r="95" spans="1:10">
      <c r="A95" s="245"/>
      <c r="B95" s="164"/>
      <c r="C95" s="164"/>
      <c r="D95" s="168"/>
      <c r="E95" s="176"/>
      <c r="F95" s="164"/>
      <c r="G95" s="164"/>
      <c r="H95" s="166"/>
      <c r="I95" s="230"/>
      <c r="J95" s="230"/>
    </row>
    <row r="96" spans="1:10">
      <c r="A96" s="245"/>
      <c r="B96" s="164"/>
      <c r="C96" s="164"/>
      <c r="D96" s="168"/>
      <c r="E96" s="176"/>
      <c r="F96" s="164"/>
      <c r="G96" s="164"/>
      <c r="H96" s="166"/>
      <c r="I96" s="230"/>
      <c r="J96" s="230"/>
    </row>
    <row r="97" spans="1:10">
      <c r="A97" s="245"/>
      <c r="B97" s="164"/>
      <c r="C97" s="164"/>
      <c r="D97" s="168"/>
      <c r="E97" s="176"/>
      <c r="F97" s="164"/>
      <c r="G97" s="164"/>
      <c r="H97" s="166"/>
      <c r="I97" s="230"/>
      <c r="J97" s="230"/>
    </row>
    <row r="98" spans="1:10">
      <c r="A98" s="245"/>
      <c r="B98" s="164"/>
      <c r="C98" s="164"/>
      <c r="D98" s="168"/>
      <c r="E98" s="176"/>
      <c r="F98" s="164"/>
      <c r="G98" s="164"/>
      <c r="H98" s="166"/>
      <c r="I98" s="230"/>
      <c r="J98" s="230"/>
    </row>
    <row r="99" spans="1:10">
      <c r="A99" s="245"/>
      <c r="B99" s="164"/>
      <c r="C99" s="164"/>
      <c r="D99" s="168"/>
      <c r="E99" s="176"/>
      <c r="F99" s="164"/>
      <c r="G99" s="164"/>
      <c r="H99" s="166"/>
      <c r="I99" s="230"/>
      <c r="J99" s="230"/>
    </row>
    <row r="100" spans="1:10" ht="15.75" thickBot="1">
      <c r="A100" s="230"/>
      <c r="B100" s="177"/>
      <c r="C100" s="178"/>
      <c r="D100" s="268"/>
      <c r="E100" s="269"/>
      <c r="F100" s="178"/>
      <c r="G100" s="268"/>
      <c r="H100" s="270"/>
      <c r="I100" s="230"/>
      <c r="J100" s="230"/>
    </row>
    <row r="101" spans="1:10" ht="15.75" thickTop="1"/>
  </sheetData>
  <mergeCells count="1">
    <mergeCell ref="C59:D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8</vt:i4>
      </vt:variant>
    </vt:vector>
  </HeadingPairs>
  <TitlesOfParts>
    <vt:vector size="8" baseType="lpstr">
      <vt:lpstr>Feuil3</vt:lpstr>
      <vt:lpstr>Note de Calcul</vt:lpstr>
      <vt:lpstr>Feuil1</vt:lpstr>
      <vt:lpstr>coefi de comportement+les effor</vt:lpstr>
      <vt:lpstr>verification effet ∆</vt:lpstr>
      <vt:lpstr>verification renversement</vt:lpstr>
      <vt:lpstr>SEMELLE ISOLEE</vt:lpstr>
      <vt:lpstr>semelle filante</vt:lpstr>
    </vt:vector>
  </TitlesOfParts>
  <Company>GC concept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Nabil</dc:creator>
  <cp:lastModifiedBy>PC</cp:lastModifiedBy>
  <cp:lastPrinted>2024-03-03T18:16:45Z</cp:lastPrinted>
  <dcterms:created xsi:type="dcterms:W3CDTF">2009-07-05T21:46:47Z</dcterms:created>
  <dcterms:modified xsi:type="dcterms:W3CDTF">2024-04-03T00:01:53Z</dcterms:modified>
</cp:coreProperties>
</file>