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kamsaih\Downloads\"/>
    </mc:Choice>
  </mc:AlternateContent>
  <xr:revisionPtr revIDLastSave="0" documentId="13_ncr:1_{E17CD8CD-7C8C-477E-B57A-9F7EC13025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1" i="1" l="1"/>
  <c r="F62" i="1"/>
  <c r="F60" i="1"/>
  <c r="F59" i="1"/>
  <c r="O58" i="1"/>
  <c r="F57" i="1" s="1"/>
  <c r="F58" i="1" s="1"/>
  <c r="P61" i="1" s="1"/>
  <c r="F54" i="1"/>
  <c r="F52" i="1"/>
  <c r="I53" i="1"/>
  <c r="F53" i="1" s="1"/>
  <c r="F47" i="1"/>
  <c r="O52" i="1"/>
  <c r="F48" i="1" s="1"/>
  <c r="I45" i="1"/>
  <c r="F45" i="1"/>
  <c r="F44" i="1"/>
  <c r="O41" i="1"/>
  <c r="F38" i="1"/>
  <c r="F37" i="1"/>
  <c r="O28" i="1"/>
  <c r="F28" i="1" s="1"/>
  <c r="F31" i="1" s="1"/>
  <c r="F25" i="1"/>
  <c r="F51" i="1" l="1"/>
  <c r="F49" i="1"/>
  <c r="P55" i="1" s="1"/>
  <c r="F50" i="1"/>
  <c r="F55" i="1"/>
  <c r="F32" i="1"/>
  <c r="F29" i="1"/>
  <c r="P30" i="1" s="1"/>
  <c r="F30" i="1"/>
  <c r="O13" i="1"/>
  <c r="F14" i="1" s="1"/>
  <c r="F16" i="1" l="1"/>
  <c r="F17" i="1"/>
  <c r="F18" i="1"/>
  <c r="F15" i="1"/>
  <c r="P16" i="1" s="1"/>
  <c r="AQ44" i="1"/>
  <c r="AQ42" i="1"/>
  <c r="AP43" i="1" s="1"/>
  <c r="AQ41" i="1"/>
  <c r="AX41" i="1" s="1"/>
  <c r="AY41" i="1" s="1"/>
  <c r="AQ40" i="1"/>
  <c r="AP39" i="1"/>
  <c r="AQ21" i="1"/>
  <c r="AX21" i="1" s="1"/>
  <c r="AY21" i="1" s="1"/>
  <c r="AX36" i="1"/>
  <c r="AX37" i="1"/>
  <c r="AX35" i="1"/>
  <c r="AY35" i="1" s="1"/>
  <c r="AX22" i="1"/>
  <c r="AX34" i="1"/>
  <c r="AP34" i="1"/>
  <c r="AY34" i="1" s="1"/>
  <c r="AP22" i="1"/>
  <c r="AY22" i="1" s="1"/>
  <c r="AQ34" i="1"/>
  <c r="AX33" i="1"/>
  <c r="AY33" i="1" s="1"/>
  <c r="AQ28" i="1" l="1"/>
  <c r="AX28" i="1" s="1"/>
  <c r="AY28" i="1" s="1"/>
  <c r="AQ26" i="1"/>
  <c r="AP27" i="1" s="1"/>
  <c r="AQ25" i="1"/>
  <c r="AX25" i="1" s="1"/>
  <c r="AY25" i="1" s="1"/>
  <c r="AQ18" i="1"/>
  <c r="AX18" i="1" s="1"/>
  <c r="AY18" i="1" s="1"/>
  <c r="AQ17" i="1"/>
  <c r="AP19" i="1" s="1"/>
  <c r="AQ16" i="1"/>
  <c r="AQ11" i="1"/>
  <c r="AX27" i="1"/>
  <c r="AX26" i="1"/>
  <c r="AY26" i="1" s="1"/>
  <c r="AQ24" i="1"/>
  <c r="AX23" i="1"/>
  <c r="AY23" i="1" s="1"/>
  <c r="AX20" i="1"/>
  <c r="AY20" i="1" s="1"/>
  <c r="AY147" i="1"/>
  <c r="AY146" i="1"/>
  <c r="AY145" i="1"/>
  <c r="AY144" i="1"/>
  <c r="AY143" i="1"/>
  <c r="AY141" i="1"/>
  <c r="AY140" i="1"/>
  <c r="AY139" i="1"/>
  <c r="AY138" i="1"/>
  <c r="AY137" i="1"/>
  <c r="AY136" i="1"/>
  <c r="AY135" i="1"/>
  <c r="AY133" i="1"/>
  <c r="AY132" i="1"/>
  <c r="AY131" i="1"/>
  <c r="AY130" i="1"/>
  <c r="AY129" i="1"/>
  <c r="AY128" i="1"/>
  <c r="AY127" i="1"/>
  <c r="AY126" i="1"/>
  <c r="AY125" i="1"/>
  <c r="AY124" i="1"/>
  <c r="AY123" i="1"/>
  <c r="AY115" i="1"/>
  <c r="AY114" i="1"/>
  <c r="AX111" i="1"/>
  <c r="AY111" i="1" s="1"/>
  <c r="AX110" i="1"/>
  <c r="AY110" i="1" s="1"/>
  <c r="AY109" i="1"/>
  <c r="AX108" i="1"/>
  <c r="AY108" i="1" s="1"/>
  <c r="AX105" i="1"/>
  <c r="AY105" i="1" s="1"/>
  <c r="AY104" i="1"/>
  <c r="AX101" i="1"/>
  <c r="AY101" i="1" s="1"/>
  <c r="AX100" i="1"/>
  <c r="AY100" i="1" s="1"/>
  <c r="AX99" i="1"/>
  <c r="AY99" i="1" s="1"/>
  <c r="AY96" i="1"/>
  <c r="AX95" i="1"/>
  <c r="AY95" i="1" s="1"/>
  <c r="AY92" i="1"/>
  <c r="AY91" i="1"/>
  <c r="AY90" i="1"/>
  <c r="AY88" i="1"/>
  <c r="AY87" i="1"/>
  <c r="AY86" i="1"/>
  <c r="AY83" i="1"/>
  <c r="AY82" i="1"/>
  <c r="AY80" i="1"/>
  <c r="AY79" i="1"/>
  <c r="AY70" i="1"/>
  <c r="AX69" i="1"/>
  <c r="AY69" i="1" s="1"/>
  <c r="AX66" i="1"/>
  <c r="AY66" i="1" s="1"/>
  <c r="AU66" i="1"/>
  <c r="AU65" i="1"/>
  <c r="AP65" i="1"/>
  <c r="AU64" i="1"/>
  <c r="AX64" i="1" s="1"/>
  <c r="AY64" i="1" s="1"/>
  <c r="AX63" i="1"/>
  <c r="AY63" i="1" s="1"/>
  <c r="AX62" i="1"/>
  <c r="AY62" i="1" s="1"/>
  <c r="AU61" i="1"/>
  <c r="AP61" i="1"/>
  <c r="AU60" i="1"/>
  <c r="AX60" i="1" s="1"/>
  <c r="AY60" i="1" s="1"/>
  <c r="AX59" i="1"/>
  <c r="AY59" i="1" s="1"/>
  <c r="AX58" i="1"/>
  <c r="AY58" i="1" s="1"/>
  <c r="AX57" i="1"/>
  <c r="AY57" i="1" s="1"/>
  <c r="AU56" i="1"/>
  <c r="AQ56" i="1"/>
  <c r="AP56" i="1"/>
  <c r="AU55" i="1"/>
  <c r="AX55" i="1" s="1"/>
  <c r="AY55" i="1" s="1"/>
  <c r="AX54" i="1"/>
  <c r="AY54" i="1" s="1"/>
  <c r="AU51" i="1"/>
  <c r="AX51" i="1" s="1"/>
  <c r="AY51" i="1" s="1"/>
  <c r="AU50" i="1"/>
  <c r="AX50" i="1" s="1"/>
  <c r="AY50" i="1" s="1"/>
  <c r="AX49" i="1"/>
  <c r="AY49" i="1" s="1"/>
  <c r="AU49" i="1"/>
  <c r="AX48" i="1"/>
  <c r="AY48" i="1" s="1"/>
  <c r="AU47" i="1"/>
  <c r="AX46" i="1"/>
  <c r="AX47" i="1" s="1"/>
  <c r="AU46" i="1"/>
  <c r="AX44" i="1"/>
  <c r="AY44" i="1" s="1"/>
  <c r="AU44" i="1"/>
  <c r="AX42" i="1"/>
  <c r="AY42" i="1" s="1"/>
  <c r="AX40" i="1"/>
  <c r="AY40" i="1" s="1"/>
  <c r="AX38" i="1"/>
  <c r="AY38" i="1" s="1"/>
  <c r="AY37" i="1"/>
  <c r="AY36" i="1"/>
  <c r="AX32" i="1"/>
  <c r="AY32" i="1" s="1"/>
  <c r="AX29" i="1"/>
  <c r="AY29" i="1" s="1"/>
  <c r="AQ19" i="1"/>
  <c r="AX19" i="1" s="1"/>
  <c r="AX13" i="1"/>
  <c r="AY13" i="1" s="1"/>
  <c r="AX12" i="1"/>
  <c r="AY12" i="1" s="1"/>
  <c r="AR10" i="1"/>
  <c r="AX10" i="1" s="1"/>
  <c r="AR9" i="1"/>
  <c r="AQ9" i="1"/>
  <c r="F40" i="1"/>
  <c r="F46" i="1" s="1"/>
  <c r="AY19" i="1" l="1"/>
  <c r="F43" i="1"/>
  <c r="F42" i="1"/>
  <c r="F41" i="1"/>
  <c r="P44" i="1" s="1"/>
  <c r="AR17" i="1"/>
  <c r="AX17" i="1" s="1"/>
  <c r="AY17" i="1" s="1"/>
  <c r="AX9" i="1"/>
  <c r="AY9" i="1" s="1"/>
  <c r="AY27" i="1"/>
  <c r="AR11" i="1"/>
  <c r="AX11" i="1" s="1"/>
  <c r="AY11" i="1" s="1"/>
  <c r="AR16" i="1"/>
  <c r="AX16" i="1" s="1"/>
  <c r="AY16" i="1" s="1"/>
  <c r="AX14" i="1"/>
  <c r="AY14" i="1" s="1"/>
  <c r="AY10" i="1"/>
  <c r="AS24" i="1"/>
  <c r="AY47" i="1"/>
  <c r="AY46" i="1"/>
  <c r="AQ61" i="1"/>
  <c r="AX56" i="1"/>
  <c r="AY56" i="1" s="1"/>
  <c r="AX24" i="1" l="1"/>
  <c r="AY24" i="1" s="1"/>
  <c r="AQ65" i="1"/>
  <c r="AX65" i="1" s="1"/>
  <c r="AY65" i="1" s="1"/>
  <c r="AX61" i="1"/>
  <c r="AY61" i="1" s="1"/>
  <c r="AQ39" i="1"/>
  <c r="AX39" i="1" s="1"/>
  <c r="AQ43" i="1" l="1"/>
  <c r="AX43" i="1" s="1"/>
  <c r="AY43" i="1" s="1"/>
  <c r="AY39" i="1"/>
  <c r="N47" i="1"/>
  <c r="M47" i="1"/>
  <c r="O34" i="1"/>
  <c r="F33" i="1" s="1"/>
  <c r="F34" i="1" s="1"/>
  <c r="O19" i="1"/>
  <c r="F19" i="1" s="1"/>
  <c r="F26" i="1" l="1"/>
  <c r="F22" i="1"/>
  <c r="F36" i="1"/>
  <c r="F35" i="1"/>
  <c r="P38" i="1"/>
  <c r="F21" i="1"/>
  <c r="F20" i="1"/>
  <c r="P22" i="1" s="1"/>
  <c r="F39" i="1"/>
</calcChain>
</file>

<file path=xl/sharedStrings.xml><?xml version="1.0" encoding="utf-8"?>
<sst xmlns="http://schemas.openxmlformats.org/spreadsheetml/2006/main" count="600" uniqueCount="329">
  <si>
    <t>Gros Œuvre</t>
  </si>
  <si>
    <t>I-FONDATIONS</t>
  </si>
  <si>
    <t>Ciment</t>
  </si>
  <si>
    <t>Sable</t>
  </si>
  <si>
    <t>Gravier</t>
  </si>
  <si>
    <t>Béton de Propreté (e=5cm)</t>
  </si>
  <si>
    <t>Béton de Semelle</t>
  </si>
  <si>
    <t>Eau</t>
  </si>
  <si>
    <t>Semelles Filantes</t>
  </si>
  <si>
    <t>Poteaux de fondations</t>
  </si>
  <si>
    <t>Remblais de Terre</t>
  </si>
  <si>
    <t>Elements de coffrage</t>
  </si>
  <si>
    <t>Murs</t>
  </si>
  <si>
    <t>Chainage Bas</t>
  </si>
  <si>
    <t>Chainage Haut</t>
  </si>
  <si>
    <t>Linteaux</t>
  </si>
  <si>
    <t>Dosage</t>
  </si>
  <si>
    <t>U</t>
  </si>
  <si>
    <t>QTES</t>
  </si>
  <si>
    <t>DESIGNATION DES OUVRAGES</t>
  </si>
  <si>
    <r>
      <t>kg/m</t>
    </r>
    <r>
      <rPr>
        <vertAlign val="superscript"/>
        <sz val="11"/>
        <color theme="1"/>
        <rFont val="Calibri"/>
        <family val="2"/>
        <scheme val="minor"/>
      </rPr>
      <t>3</t>
    </r>
  </si>
  <si>
    <t>kg</t>
  </si>
  <si>
    <r>
      <t>m</t>
    </r>
    <r>
      <rPr>
        <vertAlign val="superscript"/>
        <sz val="11"/>
        <color theme="1"/>
        <rFont val="Calibri"/>
        <family val="2"/>
        <scheme val="minor"/>
      </rPr>
      <t>3</t>
    </r>
  </si>
  <si>
    <t>L</t>
  </si>
  <si>
    <t>barre</t>
  </si>
  <si>
    <t>1b=12m</t>
  </si>
  <si>
    <t>u</t>
  </si>
  <si>
    <t>hauteur de semelles par descente de charge</t>
  </si>
  <si>
    <t>Avec dimensionS obtenues après calcul</t>
  </si>
  <si>
    <t>nbre de semelle</t>
  </si>
  <si>
    <t>Longueur m</t>
  </si>
  <si>
    <t>Largeur m</t>
  </si>
  <si>
    <t>Epaisseur m</t>
  </si>
  <si>
    <r>
      <t>Volume m</t>
    </r>
    <r>
      <rPr>
        <b/>
        <vertAlign val="superscript"/>
        <sz val="8"/>
        <color theme="1"/>
        <rFont val="Calibri"/>
        <family val="2"/>
        <scheme val="minor"/>
      </rPr>
      <t>3</t>
    </r>
  </si>
  <si>
    <r>
      <t>1m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de béton = 0,4 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de sable</t>
    </r>
  </si>
  <si>
    <r>
      <t>1m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de béton = 0,8 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de Gravier</t>
    </r>
  </si>
  <si>
    <r>
      <t>1m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de béton = 189 L d'eau</t>
    </r>
  </si>
  <si>
    <t>Longueur developpée m</t>
  </si>
  <si>
    <t>Hateur m</t>
  </si>
  <si>
    <r>
      <t>Volume  m</t>
    </r>
    <r>
      <rPr>
        <b/>
        <vertAlign val="superscript"/>
        <sz val="8"/>
        <color theme="1"/>
        <rFont val="Calibri"/>
        <family val="2"/>
        <scheme val="minor"/>
      </rPr>
      <t>3</t>
    </r>
  </si>
  <si>
    <t>Avec dimensions  des semellesobtenues après calcul</t>
  </si>
  <si>
    <t>nbre de sac</t>
  </si>
  <si>
    <t>Apres dimensionnement</t>
  </si>
  <si>
    <t>Avec dimensionnement des aciers</t>
  </si>
  <si>
    <r>
      <t>kg/m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</si>
  <si>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t>Surface  Parpaing</t>
  </si>
  <si>
    <t>Surface murs</t>
  </si>
  <si>
    <t xml:space="preserve">Aciers HA8 </t>
  </si>
  <si>
    <t>Aciers HA6</t>
  </si>
  <si>
    <t>coefficient de perte de 1,2</t>
  </si>
  <si>
    <t>04 filant HA12 + cadre T6(e=15)</t>
  </si>
  <si>
    <t>longueur de recouvrement = 50*diametre de l'acier</t>
  </si>
  <si>
    <t>Aciers HA10</t>
  </si>
  <si>
    <t>Aciers HA12</t>
  </si>
  <si>
    <t>Semelles Isolées (60*60*25)</t>
  </si>
  <si>
    <t>volume de du soubassements</t>
  </si>
  <si>
    <t>nbre de nappes</t>
  </si>
  <si>
    <t>Largeur de la dalle m</t>
  </si>
  <si>
    <t>Longueur de la dalle m</t>
  </si>
  <si>
    <t xml:space="preserve">densité du gravier </t>
  </si>
  <si>
    <t>Epaiseur m</t>
  </si>
  <si>
    <r>
      <t>volume de la dalle m</t>
    </r>
    <r>
      <rPr>
        <b/>
        <vertAlign val="superscript"/>
        <sz val="8"/>
        <color theme="1"/>
        <rFont val="Calibri"/>
        <family val="2"/>
        <scheme val="minor"/>
      </rPr>
      <t>3</t>
    </r>
  </si>
  <si>
    <t>En principe, la longueur de recouvrement depend de la resistance du béton et de celle des acier utilisé. Voir la référence dans le BAEL</t>
  </si>
  <si>
    <t>Dalle de compression 13 cm</t>
  </si>
  <si>
    <t>Sans oublier des armatures de chainage et les cales pour ne pas que les aciers soient en contact avec le beton de proprété</t>
  </si>
  <si>
    <t>Prévoir des reservations suivant le plan du plombier et de l'électricien</t>
  </si>
  <si>
    <t>nbre de Poteau</t>
  </si>
  <si>
    <t>N°</t>
  </si>
  <si>
    <t>Désignation</t>
  </si>
  <si>
    <t>Nombre</t>
  </si>
  <si>
    <t>Dimensions</t>
  </si>
  <si>
    <t>Acier</t>
  </si>
  <si>
    <t>Quantité</t>
  </si>
  <si>
    <t>l</t>
  </si>
  <si>
    <t>h</t>
  </si>
  <si>
    <t>Ф (mm)</t>
  </si>
  <si>
    <t>masse (kg/m)</t>
  </si>
  <si>
    <r>
      <t>S</t>
    </r>
    <r>
      <rPr>
        <vertAlign val="subscript"/>
        <sz val="12"/>
        <color theme="1"/>
        <rFont val="Times New Roman"/>
        <family val="1"/>
      </rPr>
      <t>t</t>
    </r>
    <r>
      <rPr>
        <sz val="12"/>
        <color theme="1"/>
        <rFont val="Times New Roman"/>
        <family val="1"/>
      </rPr>
      <t xml:space="preserve"> (m)</t>
    </r>
  </si>
  <si>
    <t>Partielle</t>
  </si>
  <si>
    <t>Totale</t>
  </si>
  <si>
    <t>①</t>
  </si>
  <si>
    <t>TERRASSEMENT</t>
  </si>
  <si>
    <t>1.1</t>
  </si>
  <si>
    <t>Décapage des terres végétales d'épaisseur 10cm</t>
  </si>
  <si>
    <r>
      <t>m</t>
    </r>
    <r>
      <rPr>
        <vertAlign val="superscript"/>
        <sz val="12"/>
        <color theme="1"/>
        <rFont val="Times New Roman"/>
        <family val="1"/>
      </rPr>
      <t>3</t>
    </r>
  </si>
  <si>
    <t>1.2</t>
  </si>
  <si>
    <t>1.3</t>
  </si>
  <si>
    <t>Remblai des terres provenant des fouilles</t>
  </si>
  <si>
    <t>1.4</t>
  </si>
  <si>
    <t>Lit de sable de 5cm pour l'assise du film polyane</t>
  </si>
  <si>
    <r>
      <t>m</t>
    </r>
    <r>
      <rPr>
        <vertAlign val="superscript"/>
        <sz val="12"/>
        <color theme="1"/>
        <rFont val="Times New Roman"/>
        <family val="1"/>
      </rPr>
      <t>2</t>
    </r>
  </si>
  <si>
    <t>1.5</t>
  </si>
  <si>
    <t>Fourniture et pose du film polyane 180 microns</t>
  </si>
  <si>
    <t>1.6</t>
  </si>
  <si>
    <t>Remblai d'apport compacté soigneusement chaque 20cm</t>
  </si>
  <si>
    <t>②</t>
  </si>
  <si>
    <t>FONDATION</t>
  </si>
  <si>
    <t>2.1</t>
  </si>
  <si>
    <t>Béton de propreté sous semmelles dosé à 150kg/m3</t>
  </si>
  <si>
    <t>2.2</t>
  </si>
  <si>
    <t>Béton pour semelles filantes en BA dosé à 350kg/m3</t>
  </si>
  <si>
    <t>2.3</t>
  </si>
  <si>
    <t xml:space="preserve">Aciers longitudinaux HA8 pour semelles filantes </t>
  </si>
  <si>
    <t>2.4</t>
  </si>
  <si>
    <t xml:space="preserve">Epingles HA10 pour semelles filantes </t>
  </si>
  <si>
    <t>2.5</t>
  </si>
  <si>
    <t>Béton pour poteaux en BA dosé à 350kg/m3</t>
  </si>
  <si>
    <t>2.6</t>
  </si>
  <si>
    <t>Aciers longitutdinaux HA10</t>
  </si>
  <si>
    <t>2.7</t>
  </si>
  <si>
    <t>Cadres HA6</t>
  </si>
  <si>
    <t>2.8</t>
  </si>
  <si>
    <t>Coffrage en bois en fond de 20cm</t>
  </si>
  <si>
    <t>2.9</t>
  </si>
  <si>
    <t>Maçonnerie en agglos de 20cm</t>
  </si>
  <si>
    <t>2.10</t>
  </si>
  <si>
    <t>Béton pour chainage bas dosé à 350kg/m3</t>
  </si>
  <si>
    <r>
      <t>m</t>
    </r>
    <r>
      <rPr>
        <vertAlign val="superscript"/>
        <sz val="12"/>
        <color theme="1"/>
        <rFont val="Times New Roman"/>
        <family val="1"/>
      </rPr>
      <t>3</t>
    </r>
    <r>
      <rPr>
        <sz val="11"/>
        <color theme="1"/>
        <rFont val="Calibri"/>
        <family val="2"/>
        <scheme val="minor"/>
      </rPr>
      <t/>
    </r>
  </si>
  <si>
    <t>2.11</t>
  </si>
  <si>
    <t>Aciers longitutdinaux HA8</t>
  </si>
  <si>
    <t>2.12</t>
  </si>
  <si>
    <t>2.13</t>
  </si>
  <si>
    <t>2.14</t>
  </si>
  <si>
    <t>③</t>
  </si>
  <si>
    <t>ELEVATION</t>
  </si>
  <si>
    <t>3.1</t>
  </si>
  <si>
    <t>RDC</t>
  </si>
  <si>
    <t>3.1.1</t>
  </si>
  <si>
    <t>Béton pour poteaux dosé à 350kg/m3</t>
  </si>
  <si>
    <t>3.1.2</t>
  </si>
  <si>
    <t>3.1.3</t>
  </si>
  <si>
    <t>3.1.4</t>
  </si>
  <si>
    <t>3.1.5</t>
  </si>
  <si>
    <t>Maçonnerie en agglos de 15cm</t>
  </si>
  <si>
    <t>3.1.6</t>
  </si>
  <si>
    <t>Béton pour lintaux dosé à 350kg/m3</t>
  </si>
  <si>
    <t>3.1.7</t>
  </si>
  <si>
    <t>3.1.8</t>
  </si>
  <si>
    <t>3.1.9</t>
  </si>
  <si>
    <t>3.1.10</t>
  </si>
  <si>
    <t>Béton pour chainage haut dosé à 350kg/m3</t>
  </si>
  <si>
    <t>3.1.11</t>
  </si>
  <si>
    <t>3.1.12</t>
  </si>
  <si>
    <t>3.1.13</t>
  </si>
  <si>
    <t>3.1.14</t>
  </si>
  <si>
    <t>Béton pour plancher haut (dalle en BA) d'épaisseur 15cm dosé à 350kg/m3</t>
  </si>
  <si>
    <t>3.1.15</t>
  </si>
  <si>
    <t>3.1.16</t>
  </si>
  <si>
    <t>Etaiement pour la dalle</t>
  </si>
  <si>
    <t>3.1.17</t>
  </si>
  <si>
    <t>Béton pour escalier en BA dosé à 350kg/m3</t>
  </si>
  <si>
    <t>3.1.18</t>
  </si>
  <si>
    <t>3.1.19</t>
  </si>
  <si>
    <t>Aciers de répartition HA8</t>
  </si>
  <si>
    <t>3.2</t>
  </si>
  <si>
    <t>ETAGE</t>
  </si>
  <si>
    <t>3.2.1</t>
  </si>
  <si>
    <t>3.2.2</t>
  </si>
  <si>
    <t>3.2.3</t>
  </si>
  <si>
    <t>3.2.4</t>
  </si>
  <si>
    <t>3.2.5</t>
  </si>
  <si>
    <t>3.2.6</t>
  </si>
  <si>
    <t>3.2.7</t>
  </si>
  <si>
    <t>3.2.8</t>
  </si>
  <si>
    <t>3.2.9</t>
  </si>
  <si>
    <t>3.2.10</t>
  </si>
  <si>
    <t>3.2.11</t>
  </si>
  <si>
    <t>3.2.12</t>
  </si>
  <si>
    <t>3.2.13</t>
  </si>
  <si>
    <t>④</t>
  </si>
  <si>
    <t>CHARPENTE EN BOIS - COUVERTURE</t>
  </si>
  <si>
    <t>4.1</t>
  </si>
  <si>
    <t>Ferme en bois en fond de 15 et Chevrons 8x8cm2</t>
  </si>
  <si>
    <t>4.2</t>
  </si>
  <si>
    <t>Toles bac en alu 5/10ième</t>
  </si>
  <si>
    <t>⑤</t>
  </si>
  <si>
    <t>MENUISERIE EN ALUMINIUM</t>
  </si>
  <si>
    <t>5.1</t>
  </si>
  <si>
    <t>5.1.1</t>
  </si>
  <si>
    <t>Fenetre à deux battants 120x110</t>
  </si>
  <si>
    <t>5.1.2</t>
  </si>
  <si>
    <t>Fenetre à deux battants 60x60</t>
  </si>
  <si>
    <t>5.2</t>
  </si>
  <si>
    <t>5.2.1</t>
  </si>
  <si>
    <t>5.2.2</t>
  </si>
  <si>
    <t>⑥</t>
  </si>
  <si>
    <t>MENUISERIE EN BOIS</t>
  </si>
  <si>
    <t>6.1</t>
  </si>
  <si>
    <t>6.1.1</t>
  </si>
  <si>
    <t>Fourniture et pose de bloc porte pleine en bois 1,5x210</t>
  </si>
  <si>
    <t>6.1.2</t>
  </si>
  <si>
    <t>Fourniture et pose de bloc porte pleine en bois 90x210</t>
  </si>
  <si>
    <t>6.1.3</t>
  </si>
  <si>
    <t>Fourniture et pose de bloc porte pleine en bois 80x210</t>
  </si>
  <si>
    <t>6.2</t>
  </si>
  <si>
    <t>6.2.1</t>
  </si>
  <si>
    <t>6.2.2</t>
  </si>
  <si>
    <t>6.2.3</t>
  </si>
  <si>
    <t>⑦</t>
  </si>
  <si>
    <t>REVETEMENT MURS</t>
  </si>
  <si>
    <t>RDC &amp; ETAGE</t>
  </si>
  <si>
    <t>7.1</t>
  </si>
  <si>
    <t>Enduit au mortier de 1,5 mm d'épaisseur dosé à 350kg/m3</t>
  </si>
  <si>
    <t>7.2</t>
  </si>
  <si>
    <t>Faience pour salle d'eau sur 1,7m (SBD, cuisine et toilette)</t>
  </si>
  <si>
    <t>⑧</t>
  </si>
  <si>
    <t>REVETEMENT SOL</t>
  </si>
  <si>
    <t>8.1</t>
  </si>
  <si>
    <t>Chape</t>
  </si>
  <si>
    <t>8.2</t>
  </si>
  <si>
    <t>Carreleage en gré de céramique 15x15</t>
  </si>
  <si>
    <t>8.3</t>
  </si>
  <si>
    <t>Plinthe</t>
  </si>
  <si>
    <t>⑨</t>
  </si>
  <si>
    <t>FAUX PLAFOND</t>
  </si>
  <si>
    <t>9.1</t>
  </si>
  <si>
    <t>Contre plaqué de 4mm</t>
  </si>
  <si>
    <t>9.2</t>
  </si>
  <si>
    <t>Latte 5x8cm2</t>
  </si>
  <si>
    <t>⑩</t>
  </si>
  <si>
    <t>PEINTURE</t>
  </si>
  <si>
    <t>10.1</t>
  </si>
  <si>
    <t>Peinture intérieure</t>
  </si>
  <si>
    <t>10.2</t>
  </si>
  <si>
    <t>Peinture sur ménuiserie</t>
  </si>
  <si>
    <t>10.3</t>
  </si>
  <si>
    <t>Peinture exterieure</t>
  </si>
  <si>
    <t>10.4</t>
  </si>
  <si>
    <t>Peinture sur faux plafond</t>
  </si>
  <si>
    <t>⑪</t>
  </si>
  <si>
    <t>CLIMATISATION</t>
  </si>
  <si>
    <t>11.1</t>
  </si>
  <si>
    <t>Fourniture et pose climatiseurs 12000BTU</t>
  </si>
  <si>
    <t>11.2</t>
  </si>
  <si>
    <t>Fourniture et pose climatiseurs 24000BTU</t>
  </si>
  <si>
    <t>⑫</t>
  </si>
  <si>
    <t>ELECTRICITE</t>
  </si>
  <si>
    <t>12.1</t>
  </si>
  <si>
    <t>Forfait</t>
  </si>
  <si>
    <t>⑬</t>
  </si>
  <si>
    <t>PLOMBERIE - SANITAIRE -ASSAINISSEMENT</t>
  </si>
  <si>
    <t>13.1</t>
  </si>
  <si>
    <r>
      <t xml:space="preserve">Tuyauterie d'évacuation d'eau </t>
    </r>
    <r>
      <rPr>
        <sz val="11"/>
        <color theme="1"/>
        <rFont val="Calibri"/>
        <family val="2"/>
      </rPr>
      <t>Ф</t>
    </r>
    <r>
      <rPr>
        <sz val="11"/>
        <color theme="1"/>
        <rFont val="Cambria"/>
        <family val="1"/>
      </rPr>
      <t xml:space="preserve"> 63</t>
    </r>
  </si>
  <si>
    <t>13.2</t>
  </si>
  <si>
    <r>
      <t xml:space="preserve">Tuyauterie d'évacuation d'eau </t>
    </r>
    <r>
      <rPr>
        <sz val="11"/>
        <color theme="1"/>
        <rFont val="Calibri"/>
        <family val="2"/>
      </rPr>
      <t>Ф</t>
    </r>
    <r>
      <rPr>
        <sz val="11"/>
        <color theme="1"/>
        <rFont val="Cambria"/>
        <family val="1"/>
      </rPr>
      <t xml:space="preserve"> 80</t>
    </r>
  </si>
  <si>
    <t>13.3</t>
  </si>
  <si>
    <r>
      <t xml:space="preserve">Tuyauterie d'évacuation d'eau </t>
    </r>
    <r>
      <rPr>
        <sz val="11"/>
        <color theme="1"/>
        <rFont val="Calibri"/>
        <family val="2"/>
      </rPr>
      <t>Ф</t>
    </r>
    <r>
      <rPr>
        <sz val="11"/>
        <color theme="1"/>
        <rFont val="Cambria"/>
        <family val="1"/>
      </rPr>
      <t xml:space="preserve"> 100</t>
    </r>
  </si>
  <si>
    <t>13.4</t>
  </si>
  <si>
    <t>Tuyauterie d'évacuation d'eau pluviale goutière en U</t>
  </si>
  <si>
    <t>13.5</t>
  </si>
  <si>
    <r>
      <t xml:space="preserve">Tuyauterie d'évacuation d'eau pluviale </t>
    </r>
    <r>
      <rPr>
        <sz val="11"/>
        <color theme="1"/>
        <rFont val="Calibri"/>
        <family val="2"/>
      </rPr>
      <t>Ф</t>
    </r>
    <r>
      <rPr>
        <sz val="11"/>
        <color theme="1"/>
        <rFont val="Cambria"/>
        <family val="1"/>
      </rPr>
      <t xml:space="preserve"> 100</t>
    </r>
  </si>
  <si>
    <t>13.6</t>
  </si>
  <si>
    <t>Regard de visite 60x60</t>
  </si>
  <si>
    <t>13.7</t>
  </si>
  <si>
    <t>Fosse toute eau 2x1,8x2</t>
  </si>
  <si>
    <t>13.8</t>
  </si>
  <si>
    <t>Murs en parpaings de 15</t>
  </si>
  <si>
    <t>13.9</t>
  </si>
  <si>
    <t>Brique</t>
  </si>
  <si>
    <t>13.10</t>
  </si>
  <si>
    <t>t</t>
  </si>
  <si>
    <t>13.11</t>
  </si>
  <si>
    <t>13.12</t>
  </si>
  <si>
    <t>Dallage béton armé 10cm</t>
  </si>
  <si>
    <r>
      <t>cm</t>
    </r>
    <r>
      <rPr>
        <vertAlign val="superscript"/>
        <sz val="11"/>
        <color theme="1"/>
        <rFont val="Cambria"/>
        <family val="1"/>
      </rPr>
      <t>3</t>
    </r>
  </si>
  <si>
    <t>13.13</t>
  </si>
  <si>
    <t>13.14</t>
  </si>
  <si>
    <t>13.15</t>
  </si>
  <si>
    <t>Acier HA8</t>
  </si>
  <si>
    <t>ml</t>
  </si>
  <si>
    <t>13.16</t>
  </si>
  <si>
    <t>13.17</t>
  </si>
  <si>
    <t>Coffrage en bois</t>
  </si>
  <si>
    <t>13.18</t>
  </si>
  <si>
    <t>Lattes</t>
  </si>
  <si>
    <t>13.19</t>
  </si>
  <si>
    <t>Contre plaqué</t>
  </si>
  <si>
    <t>13.20</t>
  </si>
  <si>
    <t>Sanitaire</t>
  </si>
  <si>
    <t>13.21</t>
  </si>
  <si>
    <t>Wc accessoire y compris</t>
  </si>
  <si>
    <t>13.22</t>
  </si>
  <si>
    <t>Evier de cuisine accessoire y compris</t>
  </si>
  <si>
    <t>13.23</t>
  </si>
  <si>
    <t>Lavabos accessoire y compris</t>
  </si>
  <si>
    <t>13.24</t>
  </si>
  <si>
    <t>Plomberie</t>
  </si>
  <si>
    <t>13.25</t>
  </si>
  <si>
    <t>Tuyauterie d'alimentation en eau potable en PEHD</t>
  </si>
  <si>
    <t>Fouilles en rigole 45x60cm2</t>
  </si>
  <si>
    <t>Espacement entre épingles</t>
  </si>
  <si>
    <t>Nom</t>
  </si>
  <si>
    <t>valeur</t>
  </si>
  <si>
    <t>m</t>
  </si>
  <si>
    <t>Longueur de recouvrement</t>
  </si>
  <si>
    <t>50*D</t>
  </si>
  <si>
    <t>Longueur developpé d'un cadre</t>
  </si>
  <si>
    <t>2(l+l'+13*D)</t>
  </si>
  <si>
    <t>Espacement cadre</t>
  </si>
  <si>
    <t>Béton pour dallage d'épaisseur 10cm dosé à 300kg/m3</t>
  </si>
  <si>
    <t>Surface des Murs sur ARCHI</t>
  </si>
  <si>
    <r>
      <t>Aciers longitutdinaux HA10 (</t>
    </r>
    <r>
      <rPr>
        <sz val="12"/>
        <color rgb="FFFF0000"/>
        <rFont val="Times New Roman"/>
        <family val="1"/>
      </rPr>
      <t>enrobage de 5cm</t>
    </r>
    <r>
      <rPr>
        <sz val="12"/>
        <color theme="1"/>
        <rFont val="Times New Roman"/>
        <family val="1"/>
      </rPr>
      <t>)</t>
    </r>
  </si>
  <si>
    <t>Nbre d'agglos*1,2 = Deboursser sec</t>
  </si>
  <si>
    <t>H</t>
  </si>
  <si>
    <t>nbre O = Ld</t>
  </si>
  <si>
    <t xml:space="preserve">Nbre </t>
  </si>
  <si>
    <t xml:space="preserve">Pour homogéneiser la surface </t>
  </si>
  <si>
    <t>Pour éviter que les impuretés du sol n'atteignent directement la semelle</t>
  </si>
  <si>
    <t>il manque recouvrements</t>
  </si>
  <si>
    <t>Aciers cadre T6</t>
  </si>
  <si>
    <t>nbre-cadre:</t>
  </si>
  <si>
    <r>
      <t>f</t>
    </r>
    <r>
      <rPr>
        <b/>
        <vertAlign val="subscript"/>
        <sz val="18"/>
        <color rgb="FFFF0000"/>
        <rFont val="Calibri"/>
        <family val="2"/>
        <scheme val="minor"/>
      </rPr>
      <t>ck</t>
    </r>
    <r>
      <rPr>
        <b/>
        <sz val="18"/>
        <color rgb="FFFF0000"/>
        <rFont val="Calibri"/>
        <family val="2"/>
        <scheme val="minor"/>
      </rPr>
      <t xml:space="preserve"> = 25 Mpa et FeE 500</t>
    </r>
  </si>
  <si>
    <t>Joint de 1,5 cm + 7% en prévention des risques</t>
  </si>
  <si>
    <t>longueur develeppés par le volume du chainage</t>
  </si>
  <si>
    <r>
      <t>1m</t>
    </r>
    <r>
      <rPr>
        <strike/>
        <vertAlign val="superscript"/>
        <sz val="11"/>
        <color theme="1"/>
        <rFont val="Calibri"/>
        <family val="2"/>
        <scheme val="minor"/>
      </rPr>
      <t>3</t>
    </r>
    <r>
      <rPr>
        <strike/>
        <sz val="11"/>
        <color theme="1"/>
        <rFont val="Calibri"/>
        <family val="2"/>
        <scheme val="minor"/>
      </rPr>
      <t xml:space="preserve"> de béton = 8 sac de ciment</t>
    </r>
  </si>
  <si>
    <t>Brouette 50L</t>
  </si>
  <si>
    <t>Densité du sable</t>
  </si>
  <si>
    <t xml:space="preserve">Densité du gravier </t>
  </si>
  <si>
    <t>Parpaings de Fondation 20x40</t>
  </si>
  <si>
    <t>Murs de Fondation</t>
  </si>
  <si>
    <t>Coéfficient Securité des materiaux 10%</t>
  </si>
  <si>
    <t>Chainage bas</t>
  </si>
  <si>
    <t>Dallage</t>
  </si>
  <si>
    <t xml:space="preserve">Aciers  cadre HA6 </t>
  </si>
  <si>
    <t>nbre-cadre sans recouvrement:</t>
  </si>
  <si>
    <t>Planches de 5m</t>
  </si>
  <si>
    <t>Tenir compte du foisonnement</t>
  </si>
  <si>
    <t>Poteaux de Structure</t>
  </si>
  <si>
    <t>Autres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</si>
</sst>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4"/>
      <name val="Calibri"/>
      <family val="2"/>
      <scheme val="minor"/>
    </font>
    <font>
      <b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vertAlign val="superscript"/>
      <sz val="8"/>
      <color theme="1"/>
      <name val="Calibri"/>
      <family val="2"/>
      <scheme val="minor"/>
    </font>
    <font>
      <sz val="9"/>
      <color theme="4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8"/>
      <color rgb="FF00B050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trike/>
      <vertAlign val="superscript"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</font>
    <font>
      <vertAlign val="subscript"/>
      <sz val="12"/>
      <color theme="1"/>
      <name val="Times New Roman"/>
      <family val="1"/>
    </font>
    <font>
      <sz val="12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name val="Cambria"/>
      <family val="1"/>
    </font>
    <font>
      <sz val="11"/>
      <color theme="1"/>
      <name val="Cambria"/>
      <family val="1"/>
    </font>
    <font>
      <sz val="11"/>
      <name val="Cambria"/>
      <family val="1"/>
    </font>
    <font>
      <sz val="12"/>
      <color theme="1"/>
      <name val="Cambria"/>
      <family val="1"/>
    </font>
    <font>
      <sz val="11"/>
      <color theme="1"/>
      <name val="Calibri"/>
      <family val="2"/>
    </font>
    <font>
      <b/>
      <sz val="11"/>
      <color theme="1"/>
      <name val="Cambria"/>
      <family val="1"/>
    </font>
    <font>
      <vertAlign val="superscript"/>
      <sz val="11"/>
      <color theme="1"/>
      <name val="Cambria"/>
      <family val="1"/>
    </font>
    <font>
      <sz val="12"/>
      <color rgb="FFFF0000"/>
      <name val="Times New Roman"/>
      <family val="1"/>
    </font>
    <font>
      <b/>
      <sz val="11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vertAlign val="subscript"/>
      <sz val="18"/>
      <color rgb="FFFF0000"/>
      <name val="Calibri"/>
      <family val="2"/>
      <scheme val="minor"/>
    </font>
    <font>
      <b/>
      <strike/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rgb="FFFFC000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6"/>
      <color rgb="FF7030A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/>
      <right style="mediumDashed">
        <color indexed="64"/>
      </right>
      <top style="mediumDashed">
        <color indexed="64"/>
      </top>
      <bottom/>
      <diagonal/>
    </border>
    <border>
      <left style="mediumDashed">
        <color indexed="64"/>
      </left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Dashed">
        <color indexed="64"/>
      </left>
      <right/>
      <top style="mediumDashed">
        <color indexed="64"/>
      </top>
      <bottom style="mediumDashed">
        <color indexed="64"/>
      </bottom>
      <diagonal/>
    </border>
    <border>
      <left/>
      <right style="mediumDashed">
        <color indexed="64"/>
      </right>
      <top style="mediumDashed">
        <color indexed="64"/>
      </top>
      <bottom style="mediumDashed">
        <color indexed="64"/>
      </bottom>
      <diagonal/>
    </border>
  </borders>
  <cellStyleXfs count="3">
    <xf numFmtId="0" fontId="0" fillId="0" borderId="0"/>
    <xf numFmtId="0" fontId="20" fillId="5" borderId="0" applyNumberFormat="0" applyBorder="0" applyAlignment="0" applyProtection="0"/>
    <xf numFmtId="0" fontId="19" fillId="6" borderId="0" applyNumberFormat="0" applyBorder="0" applyAlignment="0" applyProtection="0"/>
  </cellStyleXfs>
  <cellXfs count="17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2" borderId="0" xfId="0" applyFont="1" applyFill="1"/>
    <xf numFmtId="1" fontId="1" fillId="3" borderId="0" xfId="0" applyNumberFormat="1" applyFont="1" applyFill="1" applyAlignment="1">
      <alignment horizontal="center"/>
    </xf>
    <xf numFmtId="0" fontId="0" fillId="3" borderId="0" xfId="0" applyFill="1" applyAlignment="1">
      <alignment horizontal="center" vertical="center"/>
    </xf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/>
    <xf numFmtId="0" fontId="8" fillId="0" borderId="6" xfId="0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6" fillId="0" borderId="3" xfId="0" applyFont="1" applyBorder="1" applyAlignment="1">
      <alignment horizontal="center" vertical="center"/>
    </xf>
    <xf numFmtId="11" fontId="0" fillId="0" borderId="0" xfId="0" applyNumberFormat="1"/>
    <xf numFmtId="11" fontId="0" fillId="0" borderId="0" xfId="0" applyNumberFormat="1" applyAlignment="1">
      <alignment horizontal="center" vertical="center"/>
    </xf>
    <xf numFmtId="11" fontId="0" fillId="4" borderId="0" xfId="0" applyNumberFormat="1" applyFill="1" applyAlignment="1">
      <alignment horizontal="center" vertical="center"/>
    </xf>
    <xf numFmtId="0" fontId="23" fillId="8" borderId="1" xfId="0" applyFont="1" applyFill="1" applyBorder="1" applyAlignment="1">
      <alignment horizontal="center" vertical="center"/>
    </xf>
    <xf numFmtId="0" fontId="24" fillId="8" borderId="1" xfId="0" applyFont="1" applyFill="1" applyBorder="1" applyAlignment="1">
      <alignment horizontal="center" vertical="center"/>
    </xf>
    <xf numFmtId="0" fontId="23" fillId="7" borderId="1" xfId="0" applyFont="1" applyFill="1" applyBorder="1" applyAlignment="1">
      <alignment horizontal="center" vertical="center"/>
    </xf>
    <xf numFmtId="0" fontId="23" fillId="9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6" fillId="10" borderId="1" xfId="2" applyNumberFormat="1" applyFont="1" applyFill="1" applyBorder="1" applyAlignment="1">
      <alignment horizontal="center" vertical="top"/>
    </xf>
    <xf numFmtId="0" fontId="23" fillId="0" borderId="1" xfId="0" applyFont="1" applyBorder="1" applyAlignment="1">
      <alignment horizontal="right" vertical="center"/>
    </xf>
    <xf numFmtId="0" fontId="28" fillId="10" borderId="1" xfId="2" applyNumberFormat="1" applyFont="1" applyFill="1" applyBorder="1" applyAlignment="1">
      <alignment horizontal="center" vertical="top" wrapText="1"/>
    </xf>
    <xf numFmtId="0" fontId="28" fillId="10" borderId="1" xfId="2" applyNumberFormat="1" applyFont="1" applyFill="1" applyBorder="1" applyAlignment="1">
      <alignment horizontal="center" vertical="top"/>
    </xf>
    <xf numFmtId="0" fontId="24" fillId="9" borderId="1" xfId="0" applyFont="1" applyFill="1" applyBorder="1" applyAlignment="1">
      <alignment horizontal="center" vertical="center"/>
    </xf>
    <xf numFmtId="0" fontId="23" fillId="11" borderId="1" xfId="0" applyFont="1" applyFill="1" applyBorder="1" applyAlignment="1">
      <alignment horizontal="center" vertical="center"/>
    </xf>
    <xf numFmtId="0" fontId="23" fillId="12" borderId="1" xfId="0" applyFont="1" applyFill="1" applyBorder="1" applyAlignment="1">
      <alignment horizontal="left" vertical="center"/>
    </xf>
    <xf numFmtId="0" fontId="23" fillId="12" borderId="1" xfId="0" applyFont="1" applyFill="1" applyBorder="1" applyAlignment="1">
      <alignment horizontal="center" vertical="center"/>
    </xf>
    <xf numFmtId="0" fontId="23" fillId="12" borderId="1" xfId="0" applyFont="1" applyFill="1" applyBorder="1" applyAlignment="1">
      <alignment horizontal="right" vertical="center"/>
    </xf>
    <xf numFmtId="0" fontId="24" fillId="12" borderId="1" xfId="0" applyFont="1" applyFill="1" applyBorder="1" applyAlignment="1">
      <alignment horizontal="left" vertical="center"/>
    </xf>
    <xf numFmtId="0" fontId="24" fillId="0" borderId="1" xfId="0" applyFont="1" applyBorder="1" applyAlignment="1">
      <alignment horizontal="right" vertical="center"/>
    </xf>
    <xf numFmtId="0" fontId="29" fillId="10" borderId="1" xfId="2" applyNumberFormat="1" applyFont="1" applyFill="1" applyBorder="1" applyAlignment="1">
      <alignment vertical="top"/>
    </xf>
    <xf numFmtId="0" fontId="23" fillId="12" borderId="0" xfId="0" applyFont="1" applyFill="1" applyAlignment="1">
      <alignment horizontal="center" vertical="center"/>
    </xf>
    <xf numFmtId="2" fontId="29" fillId="10" borderId="1" xfId="2" applyNumberFormat="1" applyFont="1" applyFill="1" applyBorder="1" applyAlignment="1">
      <alignment horizontal="center" vertical="center"/>
    </xf>
    <xf numFmtId="2" fontId="23" fillId="0" borderId="1" xfId="0" applyNumberFormat="1" applyFont="1" applyBorder="1" applyAlignment="1">
      <alignment horizontal="center" vertical="center"/>
    </xf>
    <xf numFmtId="2" fontId="30" fillId="10" borderId="1" xfId="1" applyNumberFormat="1" applyFont="1" applyFill="1" applyBorder="1" applyAlignment="1">
      <alignment horizontal="center"/>
    </xf>
    <xf numFmtId="0" fontId="29" fillId="0" borderId="1" xfId="2" applyFont="1" applyFill="1" applyBorder="1" applyAlignment="1">
      <alignment horizontal="center" vertical="center"/>
    </xf>
    <xf numFmtId="0" fontId="29" fillId="0" borderId="1" xfId="2" applyNumberFormat="1" applyFont="1" applyFill="1" applyBorder="1" applyAlignment="1">
      <alignment vertical="top"/>
    </xf>
    <xf numFmtId="2" fontId="29" fillId="0" borderId="1" xfId="2" applyNumberFormat="1" applyFont="1" applyFill="1" applyBorder="1" applyAlignment="1">
      <alignment horizontal="center" vertical="center"/>
    </xf>
    <xf numFmtId="0" fontId="33" fillId="0" borderId="1" xfId="2" applyNumberFormat="1" applyFont="1" applyFill="1" applyBorder="1" applyAlignment="1">
      <alignment vertical="top"/>
    </xf>
    <xf numFmtId="0" fontId="29" fillId="10" borderId="1" xfId="2" applyFont="1" applyFill="1" applyBorder="1" applyAlignment="1">
      <alignment horizontal="center" vertical="center"/>
    </xf>
    <xf numFmtId="0" fontId="33" fillId="10" borderId="1" xfId="2" applyNumberFormat="1" applyFont="1" applyFill="1" applyBorder="1" applyAlignment="1">
      <alignment vertical="top"/>
    </xf>
    <xf numFmtId="0" fontId="23" fillId="13" borderId="1" xfId="0" applyFont="1" applyFill="1" applyBorder="1" applyAlignment="1">
      <alignment horizontal="center" vertical="center"/>
    </xf>
    <xf numFmtId="0" fontId="35" fillId="11" borderId="1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3" fillId="10" borderId="1" xfId="0" applyFont="1" applyFill="1" applyBorder="1" applyAlignment="1">
      <alignment horizontal="center" vertical="center"/>
    </xf>
    <xf numFmtId="0" fontId="23" fillId="4" borderId="1" xfId="0" applyFont="1" applyFill="1" applyBorder="1" applyAlignment="1">
      <alignment horizontal="center" vertic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23" fillId="9" borderId="13" xfId="0" applyFont="1" applyFill="1" applyBorder="1" applyAlignment="1">
      <alignment horizontal="center" vertical="center"/>
    </xf>
    <xf numFmtId="0" fontId="23" fillId="9" borderId="14" xfId="0" applyFont="1" applyFill="1" applyBorder="1" applyAlignment="1">
      <alignment horizontal="center" vertical="center"/>
    </xf>
    <xf numFmtId="0" fontId="23" fillId="9" borderId="6" xfId="0" applyFont="1" applyFill="1" applyBorder="1" applyAlignment="1">
      <alignment horizontal="center" vertical="center"/>
    </xf>
    <xf numFmtId="0" fontId="23" fillId="0" borderId="13" xfId="0" applyFont="1" applyBorder="1" applyAlignment="1">
      <alignment horizontal="left" vertical="center"/>
    </xf>
    <xf numFmtId="0" fontId="23" fillId="0" borderId="6" xfId="0" applyFont="1" applyBorder="1" applyAlignment="1">
      <alignment horizontal="left" vertical="center"/>
    </xf>
    <xf numFmtId="0" fontId="23" fillId="12" borderId="13" xfId="0" applyFont="1" applyFill="1" applyBorder="1" applyAlignment="1">
      <alignment horizontal="center" vertical="center"/>
    </xf>
    <xf numFmtId="0" fontId="23" fillId="12" borderId="6" xfId="0" applyFont="1" applyFill="1" applyBorder="1" applyAlignment="1">
      <alignment horizontal="center" vertical="center"/>
    </xf>
    <xf numFmtId="0" fontId="17" fillId="0" borderId="0" xfId="0" applyFont="1"/>
    <xf numFmtId="2" fontId="1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36" fillId="0" borderId="0" xfId="0" applyFont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36" fillId="0" borderId="0" xfId="0" applyFont="1"/>
    <xf numFmtId="0" fontId="0" fillId="0" borderId="0" xfId="0" applyAlignment="1">
      <alignment vertical="center"/>
    </xf>
    <xf numFmtId="2" fontId="0" fillId="0" borderId="0" xfId="0" applyNumberFormat="1" applyAlignment="1">
      <alignment vertical="center"/>
    </xf>
    <xf numFmtId="0" fontId="44" fillId="0" borderId="0" xfId="0" applyFont="1"/>
    <xf numFmtId="0" fontId="3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4" fillId="0" borderId="0" xfId="0" applyFont="1" applyAlignment="1">
      <alignment horizontal="left" vertical="center"/>
    </xf>
    <xf numFmtId="0" fontId="44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9" fillId="0" borderId="3" xfId="0" applyFont="1" applyBorder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36" fillId="0" borderId="4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3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0" fillId="14" borderId="0" xfId="0" applyFill="1" applyAlignment="1">
      <alignment horizontal="center" vertical="center"/>
    </xf>
    <xf numFmtId="0" fontId="0" fillId="15" borderId="0" xfId="0" applyFill="1" applyAlignment="1">
      <alignment horizontal="center"/>
    </xf>
    <xf numFmtId="0" fontId="0" fillId="15" borderId="3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1" fillId="0" borderId="0" xfId="0" applyFont="1" applyAlignment="1">
      <alignment horizontal="center" wrapText="1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2" fontId="7" fillId="0" borderId="7" xfId="0" applyNumberFormat="1" applyFont="1" applyBorder="1" applyAlignment="1">
      <alignment horizontal="center" vertical="center"/>
    </xf>
    <xf numFmtId="2" fontId="7" fillId="0" borderId="8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top"/>
    </xf>
    <xf numFmtId="0" fontId="12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1" fillId="0" borderId="3" xfId="0" applyFont="1" applyBorder="1" applyAlignment="1">
      <alignment horizontal="center" vertical="center"/>
    </xf>
    <xf numFmtId="2" fontId="11" fillId="0" borderId="3" xfId="0" applyNumberFormat="1" applyFont="1" applyBorder="1" applyAlignment="1">
      <alignment horizontal="center" vertical="center"/>
    </xf>
    <xf numFmtId="2" fontId="11" fillId="0" borderId="5" xfId="0" applyNumberFormat="1" applyFont="1" applyBorder="1" applyAlignment="1">
      <alignment horizontal="center" vertical="center"/>
    </xf>
    <xf numFmtId="0" fontId="23" fillId="9" borderId="13" xfId="0" applyFont="1" applyFill="1" applyBorder="1" applyAlignment="1">
      <alignment horizontal="center" vertical="center"/>
    </xf>
    <xf numFmtId="0" fontId="23" fillId="9" borderId="14" xfId="0" applyFont="1" applyFill="1" applyBorder="1" applyAlignment="1">
      <alignment horizontal="center" vertical="center"/>
    </xf>
    <xf numFmtId="0" fontId="23" fillId="9" borderId="6" xfId="0" applyFont="1" applyFill="1" applyBorder="1" applyAlignment="1">
      <alignment horizontal="center" vertical="center"/>
    </xf>
    <xf numFmtId="0" fontId="23" fillId="0" borderId="13" xfId="0" applyFont="1" applyBorder="1" applyAlignment="1">
      <alignment horizontal="left" vertical="center"/>
    </xf>
    <xf numFmtId="0" fontId="23" fillId="0" borderId="6" xfId="0" applyFont="1" applyBorder="1" applyAlignment="1">
      <alignment horizontal="left" vertical="center"/>
    </xf>
    <xf numFmtId="0" fontId="22" fillId="0" borderId="13" xfId="0" applyFont="1" applyBorder="1" applyAlignment="1">
      <alignment horizontal="left" vertical="center"/>
    </xf>
    <xf numFmtId="0" fontId="22" fillId="0" borderId="6" xfId="0" applyFont="1" applyBorder="1" applyAlignment="1">
      <alignment horizontal="left" vertical="center"/>
    </xf>
    <xf numFmtId="0" fontId="22" fillId="0" borderId="13" xfId="0" applyFont="1" applyBorder="1" applyAlignment="1">
      <alignment horizontal="left" vertical="center" wrapText="1"/>
    </xf>
    <xf numFmtId="0" fontId="22" fillId="0" borderId="6" xfId="0" applyFont="1" applyBorder="1" applyAlignment="1">
      <alignment horizontal="left" vertical="center" wrapText="1"/>
    </xf>
    <xf numFmtId="0" fontId="23" fillId="0" borderId="13" xfId="0" applyFont="1" applyBorder="1" applyAlignment="1">
      <alignment horizontal="left" vertical="center" wrapText="1"/>
    </xf>
    <xf numFmtId="0" fontId="23" fillId="0" borderId="6" xfId="0" applyFont="1" applyBorder="1" applyAlignment="1">
      <alignment horizontal="left" vertical="center" wrapText="1"/>
    </xf>
    <xf numFmtId="0" fontId="23" fillId="11" borderId="13" xfId="0" applyFont="1" applyFill="1" applyBorder="1" applyAlignment="1">
      <alignment horizontal="left" vertical="center" wrapText="1"/>
    </xf>
    <xf numFmtId="0" fontId="23" fillId="11" borderId="6" xfId="0" applyFont="1" applyFill="1" applyBorder="1" applyAlignment="1">
      <alignment horizontal="left" vertical="center" wrapText="1"/>
    </xf>
    <xf numFmtId="0" fontId="23" fillId="12" borderId="13" xfId="0" applyFont="1" applyFill="1" applyBorder="1" applyAlignment="1">
      <alignment horizontal="center" vertical="center"/>
    </xf>
    <xf numFmtId="0" fontId="23" fillId="12" borderId="6" xfId="0" applyFont="1" applyFill="1" applyBorder="1" applyAlignment="1">
      <alignment horizontal="center" vertical="center"/>
    </xf>
    <xf numFmtId="0" fontId="29" fillId="0" borderId="13" xfId="2" applyNumberFormat="1" applyFont="1" applyFill="1" applyBorder="1" applyAlignment="1">
      <alignment horizontal="left" vertical="center"/>
    </xf>
    <xf numFmtId="0" fontId="29" fillId="0" borderId="6" xfId="2" applyNumberFormat="1" applyFont="1" applyFill="1" applyBorder="1" applyAlignment="1">
      <alignment horizontal="left" vertical="center"/>
    </xf>
    <xf numFmtId="0" fontId="23" fillId="0" borderId="13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33" fillId="0" borderId="13" xfId="2" applyNumberFormat="1" applyFont="1" applyFill="1" applyBorder="1" applyAlignment="1">
      <alignment horizontal="center" vertical="center"/>
    </xf>
    <xf numFmtId="0" fontId="33" fillId="0" borderId="6" xfId="2" applyNumberFormat="1" applyFont="1" applyFill="1" applyBorder="1" applyAlignment="1">
      <alignment horizontal="center" vertical="center"/>
    </xf>
    <xf numFmtId="0" fontId="29" fillId="10" borderId="13" xfId="2" applyNumberFormat="1" applyFont="1" applyFill="1" applyBorder="1" applyAlignment="1">
      <alignment horizontal="left" vertical="center"/>
    </xf>
    <xf numFmtId="0" fontId="29" fillId="10" borderId="6" xfId="2" applyNumberFormat="1" applyFont="1" applyFill="1" applyBorder="1" applyAlignment="1">
      <alignment horizontal="left" vertical="center"/>
    </xf>
    <xf numFmtId="0" fontId="33" fillId="10" borderId="13" xfId="2" applyNumberFormat="1" applyFont="1" applyFill="1" applyBorder="1" applyAlignment="1">
      <alignment horizontal="center" vertical="center"/>
    </xf>
    <xf numFmtId="0" fontId="33" fillId="10" borderId="6" xfId="2" applyNumberFormat="1" applyFont="1" applyFill="1" applyBorder="1" applyAlignment="1">
      <alignment horizontal="center" vertical="center"/>
    </xf>
    <xf numFmtId="0" fontId="28" fillId="10" borderId="13" xfId="2" applyNumberFormat="1" applyFont="1" applyFill="1" applyBorder="1" applyAlignment="1">
      <alignment horizontal="left" vertical="center" wrapText="1"/>
    </xf>
    <xf numFmtId="0" fontId="28" fillId="10" borderId="6" xfId="2" applyNumberFormat="1" applyFont="1" applyFill="1" applyBorder="1" applyAlignment="1">
      <alignment horizontal="left" vertical="center" wrapText="1"/>
    </xf>
    <xf numFmtId="0" fontId="28" fillId="10" borderId="13" xfId="2" applyNumberFormat="1" applyFont="1" applyFill="1" applyBorder="1" applyAlignment="1">
      <alignment horizontal="left" vertical="center"/>
    </xf>
    <xf numFmtId="0" fontId="28" fillId="10" borderId="6" xfId="2" applyNumberFormat="1" applyFont="1" applyFill="1" applyBorder="1" applyAlignment="1">
      <alignment horizontal="left" vertical="center"/>
    </xf>
    <xf numFmtId="0" fontId="22" fillId="7" borderId="1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21" fillId="7" borderId="13" xfId="0" applyFont="1" applyFill="1" applyBorder="1" applyAlignment="1">
      <alignment horizontal="center" vertical="center"/>
    </xf>
    <xf numFmtId="0" fontId="21" fillId="7" borderId="14" xfId="0" applyFont="1" applyFill="1" applyBorder="1" applyAlignment="1">
      <alignment horizontal="center" vertical="center"/>
    </xf>
    <xf numFmtId="0" fontId="21" fillId="7" borderId="6" xfId="0" applyFont="1" applyFill="1" applyBorder="1" applyAlignment="1">
      <alignment horizontal="center" vertical="center"/>
    </xf>
    <xf numFmtId="0" fontId="26" fillId="10" borderId="13" xfId="2" applyNumberFormat="1" applyFont="1" applyFill="1" applyBorder="1" applyAlignment="1">
      <alignment horizontal="left" vertical="center"/>
    </xf>
    <xf numFmtId="0" fontId="26" fillId="10" borderId="6" xfId="2" applyNumberFormat="1" applyFont="1" applyFill="1" applyBorder="1" applyAlignment="1">
      <alignment horizontal="left" vertical="center"/>
    </xf>
    <xf numFmtId="0" fontId="31" fillId="0" borderId="13" xfId="2" applyNumberFormat="1" applyFont="1" applyFill="1" applyBorder="1" applyAlignment="1">
      <alignment horizontal="left" vertical="center"/>
    </xf>
    <xf numFmtId="0" fontId="31" fillId="0" borderId="6" xfId="2" applyNumberFormat="1" applyFont="1" applyFill="1" applyBorder="1" applyAlignment="1">
      <alignment horizontal="left" vertical="center"/>
    </xf>
  </cellXfs>
  <cellStyles count="3">
    <cellStyle name="20 % - Accent4" xfId="2" builtinId="42"/>
    <cellStyle name="Accent3" xfId="1" builtinId="3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jp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430307</xdr:colOff>
      <xdr:row>10</xdr:row>
      <xdr:rowOff>20170</xdr:rowOff>
    </xdr:from>
    <xdr:to>
      <xdr:col>23</xdr:col>
      <xdr:colOff>260537</xdr:colOff>
      <xdr:row>23</xdr:row>
      <xdr:rowOff>54789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18" t="26612" r="27556" b="19538"/>
        <a:stretch/>
      </xdr:blipFill>
      <xdr:spPr>
        <a:xfrm>
          <a:off x="15029176" y="1055439"/>
          <a:ext cx="5384947" cy="2882751"/>
        </a:xfrm>
        <a:prstGeom prst="rect">
          <a:avLst/>
        </a:prstGeom>
      </xdr:spPr>
    </xdr:pic>
    <xdr:clientData/>
  </xdr:twoCellAnchor>
  <xdr:twoCellAnchor editAs="oneCell">
    <xdr:from>
      <xdr:col>20</xdr:col>
      <xdr:colOff>185217</xdr:colOff>
      <xdr:row>34</xdr:row>
      <xdr:rowOff>161443</xdr:rowOff>
    </xdr:from>
    <xdr:to>
      <xdr:col>30</xdr:col>
      <xdr:colOff>219855</xdr:colOff>
      <xdr:row>51</xdr:row>
      <xdr:rowOff>189415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170" t="19074" r="13628" b="11895"/>
        <a:stretch/>
      </xdr:blipFill>
      <xdr:spPr>
        <a:xfrm>
          <a:off x="17937234" y="7261604"/>
          <a:ext cx="7945231" cy="3832234"/>
        </a:xfrm>
        <a:prstGeom prst="rect">
          <a:avLst/>
        </a:prstGeom>
      </xdr:spPr>
    </xdr:pic>
    <xdr:clientData/>
  </xdr:twoCellAnchor>
  <xdr:twoCellAnchor editAs="oneCell">
    <xdr:from>
      <xdr:col>18</xdr:col>
      <xdr:colOff>594864</xdr:colOff>
      <xdr:row>59</xdr:row>
      <xdr:rowOff>125026</xdr:rowOff>
    </xdr:from>
    <xdr:to>
      <xdr:col>27</xdr:col>
      <xdr:colOff>650068</xdr:colOff>
      <xdr:row>80</xdr:row>
      <xdr:rowOff>18520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664" t="14436" r="17344" b="9529"/>
        <a:stretch/>
      </xdr:blipFill>
      <xdr:spPr>
        <a:xfrm>
          <a:off x="16825464" y="10773976"/>
          <a:ext cx="7256104" cy="4164953"/>
        </a:xfrm>
        <a:prstGeom prst="rect">
          <a:avLst/>
        </a:prstGeom>
      </xdr:spPr>
    </xdr:pic>
    <xdr:clientData/>
  </xdr:twoCellAnchor>
  <xdr:twoCellAnchor editAs="oneCell">
    <xdr:from>
      <xdr:col>8</xdr:col>
      <xdr:colOff>727561</xdr:colOff>
      <xdr:row>67</xdr:row>
      <xdr:rowOff>155761</xdr:rowOff>
    </xdr:from>
    <xdr:to>
      <xdr:col>16</xdr:col>
      <xdr:colOff>665941</xdr:colOff>
      <xdr:row>91</xdr:row>
      <xdr:rowOff>189194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68" t="21444" r="22844" b="10472"/>
        <a:stretch/>
      </xdr:blipFill>
      <xdr:spPr>
        <a:xfrm>
          <a:off x="8441140" y="15155129"/>
          <a:ext cx="6823117" cy="4899539"/>
        </a:xfrm>
        <a:prstGeom prst="rect">
          <a:avLst/>
        </a:prstGeom>
      </xdr:spPr>
    </xdr:pic>
    <xdr:clientData/>
  </xdr:twoCellAnchor>
  <xdr:twoCellAnchor editAs="oneCell">
    <xdr:from>
      <xdr:col>51</xdr:col>
      <xdr:colOff>95250</xdr:colOff>
      <xdr:row>35</xdr:row>
      <xdr:rowOff>13607</xdr:rowOff>
    </xdr:from>
    <xdr:to>
      <xdr:col>60</xdr:col>
      <xdr:colOff>124786</xdr:colOff>
      <xdr:row>44</xdr:row>
      <xdr:rowOff>25487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C1DFE5F7-20E0-E122-3190-7DC6CEB7A4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40286" y="7688036"/>
          <a:ext cx="6887536" cy="2101710"/>
        </a:xfrm>
        <a:prstGeom prst="rect">
          <a:avLst/>
        </a:prstGeom>
      </xdr:spPr>
    </xdr:pic>
    <xdr:clientData/>
  </xdr:twoCellAnchor>
  <xdr:twoCellAnchor editAs="oneCell">
    <xdr:from>
      <xdr:col>51</xdr:col>
      <xdr:colOff>371374</xdr:colOff>
      <xdr:row>21</xdr:row>
      <xdr:rowOff>87650</xdr:rowOff>
    </xdr:from>
    <xdr:to>
      <xdr:col>61</xdr:col>
      <xdr:colOff>523774</xdr:colOff>
      <xdr:row>36</xdr:row>
      <xdr:rowOff>101587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86C10ED5-3734-26A2-DF13-156A10ABEE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91246" y="4278650"/>
          <a:ext cx="8096656" cy="3361873"/>
        </a:xfrm>
        <a:prstGeom prst="rect">
          <a:avLst/>
        </a:prstGeom>
      </xdr:spPr>
    </xdr:pic>
    <xdr:clientData/>
  </xdr:twoCellAnchor>
  <xdr:twoCellAnchor editAs="oneCell">
    <xdr:from>
      <xdr:col>51</xdr:col>
      <xdr:colOff>78563</xdr:colOff>
      <xdr:row>5</xdr:row>
      <xdr:rowOff>173813</xdr:rowOff>
    </xdr:from>
    <xdr:to>
      <xdr:col>61</xdr:col>
      <xdr:colOff>230963</xdr:colOff>
      <xdr:row>19</xdr:row>
      <xdr:rowOff>217365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96F46FD8-9517-0062-98D4-E39FE98FBF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679376" y="1221563"/>
          <a:ext cx="7772400" cy="3280309"/>
        </a:xfrm>
        <a:prstGeom prst="rect">
          <a:avLst/>
        </a:prstGeom>
      </xdr:spPr>
    </xdr:pic>
    <xdr:clientData/>
  </xdr:twoCellAnchor>
  <xdr:twoCellAnchor editAs="oneCell">
    <xdr:from>
      <xdr:col>18</xdr:col>
      <xdr:colOff>371437</xdr:colOff>
      <xdr:row>90</xdr:row>
      <xdr:rowOff>64676</xdr:rowOff>
    </xdr:from>
    <xdr:to>
      <xdr:col>27</xdr:col>
      <xdr:colOff>561937</xdr:colOff>
      <xdr:row>114</xdr:row>
      <xdr:rowOff>181218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336BF4D2-A6CF-4B68-5E5B-A2858BB5C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16250" y="17376364"/>
          <a:ext cx="7048500" cy="5164791"/>
        </a:xfrm>
        <a:prstGeom prst="rect">
          <a:avLst/>
        </a:prstGeom>
      </xdr:spPr>
    </xdr:pic>
    <xdr:clientData/>
  </xdr:twoCellAnchor>
  <xdr:twoCellAnchor editAs="oneCell">
    <xdr:from>
      <xdr:col>52</xdr:col>
      <xdr:colOff>142873</xdr:colOff>
      <xdr:row>45</xdr:row>
      <xdr:rowOff>142873</xdr:rowOff>
    </xdr:from>
    <xdr:to>
      <xdr:col>60</xdr:col>
      <xdr:colOff>95250</xdr:colOff>
      <xdr:row>77</xdr:row>
      <xdr:rowOff>83039</xdr:rowOff>
    </xdr:to>
    <xdr:pic>
      <xdr:nvPicPr>
        <xdr:cNvPr id="15" name="Image 14">
          <a:extLst>
            <a:ext uri="{FF2B5EF4-FFF2-40B4-BE49-F238E27FC236}">
              <a16:creationId xmlns:a16="http://schemas.microsoft.com/office/drawing/2014/main" id="{CED00AB6-6084-26B7-3081-E85983ACD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05686" y="9667873"/>
          <a:ext cx="6048377" cy="6929439"/>
        </a:xfrm>
        <a:prstGeom prst="rect">
          <a:avLst/>
        </a:prstGeom>
      </xdr:spPr>
    </xdr:pic>
    <xdr:clientData/>
  </xdr:twoCellAnchor>
  <xdr:twoCellAnchor editAs="oneCell">
    <xdr:from>
      <xdr:col>32</xdr:col>
      <xdr:colOff>3402</xdr:colOff>
      <xdr:row>36</xdr:row>
      <xdr:rowOff>204106</xdr:rowOff>
    </xdr:from>
    <xdr:to>
      <xdr:col>35</xdr:col>
      <xdr:colOff>1769494</xdr:colOff>
      <xdr:row>45</xdr:row>
      <xdr:rowOff>89176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EB9349BE-5015-F0D4-8F4C-B37C58B191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6831" y="8123463"/>
          <a:ext cx="4052092" cy="1965161"/>
        </a:xfrm>
        <a:prstGeom prst="rect">
          <a:avLst/>
        </a:prstGeom>
      </xdr:spPr>
    </xdr:pic>
    <xdr:clientData/>
  </xdr:twoCellAnchor>
  <xdr:twoCellAnchor>
    <xdr:from>
      <xdr:col>6</xdr:col>
      <xdr:colOff>396240</xdr:colOff>
      <xdr:row>32</xdr:row>
      <xdr:rowOff>137160</xdr:rowOff>
    </xdr:from>
    <xdr:to>
      <xdr:col>9</xdr:col>
      <xdr:colOff>342900</xdr:colOff>
      <xdr:row>32</xdr:row>
      <xdr:rowOff>137160</xdr:rowOff>
    </xdr:to>
    <xdr:cxnSp macro="">
      <xdr:nvCxnSpPr>
        <xdr:cNvPr id="10" name="Connecteur droit avec flèche 9">
          <a:extLst>
            <a:ext uri="{FF2B5EF4-FFF2-40B4-BE49-F238E27FC236}">
              <a16:creationId xmlns:a16="http://schemas.microsoft.com/office/drawing/2014/main" id="{A7B07F3B-DB13-432E-AE23-826B4F64BC3F}"/>
            </a:ext>
          </a:extLst>
        </xdr:cNvPr>
        <xdr:cNvCxnSpPr/>
      </xdr:nvCxnSpPr>
      <xdr:spPr>
        <a:xfrm>
          <a:off x="6522720" y="6781800"/>
          <a:ext cx="2308860" cy="0"/>
        </a:xfrm>
        <a:prstGeom prst="straightConnector1">
          <a:avLst/>
        </a:prstGeom>
        <a:ln>
          <a:solidFill>
            <a:srgbClr val="0070C0"/>
          </a:solidFill>
          <a:tailEnd type="triangle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606466</xdr:colOff>
      <xdr:row>37</xdr:row>
      <xdr:rowOff>107156</xdr:rowOff>
    </xdr:from>
    <xdr:to>
      <xdr:col>7</xdr:col>
      <xdr:colOff>422672</xdr:colOff>
      <xdr:row>37</xdr:row>
      <xdr:rowOff>116667</xdr:rowOff>
    </xdr:to>
    <xdr:cxnSp macro="">
      <xdr:nvCxnSpPr>
        <xdr:cNvPr id="17" name="Connecteur droit avec flèche 16">
          <a:extLst>
            <a:ext uri="{FF2B5EF4-FFF2-40B4-BE49-F238E27FC236}">
              <a16:creationId xmlns:a16="http://schemas.microsoft.com/office/drawing/2014/main" id="{361931A5-6F10-4F94-94FD-B88757BE72FC}"/>
            </a:ext>
          </a:extLst>
        </xdr:cNvPr>
        <xdr:cNvCxnSpPr/>
      </xdr:nvCxnSpPr>
      <xdr:spPr>
        <a:xfrm flipH="1">
          <a:off x="5946419" y="7971234"/>
          <a:ext cx="1387831" cy="951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302846</xdr:colOff>
      <xdr:row>43</xdr:row>
      <xdr:rowOff>190171</xdr:rowOff>
    </xdr:from>
    <xdr:to>
      <xdr:col>4</xdr:col>
      <xdr:colOff>37361</xdr:colOff>
      <xdr:row>46</xdr:row>
      <xdr:rowOff>185682</xdr:rowOff>
    </xdr:to>
    <xdr:pic>
      <xdr:nvPicPr>
        <xdr:cNvPr id="20" name="Image 19">
          <a:extLst>
            <a:ext uri="{FF2B5EF4-FFF2-40B4-BE49-F238E27FC236}">
              <a16:creationId xmlns:a16="http://schemas.microsoft.com/office/drawing/2014/main" id="{E5A4C049-0275-438C-9408-5C3D8DD66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3538" y="9646786"/>
          <a:ext cx="1776285" cy="698896"/>
        </a:xfrm>
        <a:prstGeom prst="rect">
          <a:avLst/>
        </a:prstGeom>
      </xdr:spPr>
    </xdr:pic>
    <xdr:clientData/>
  </xdr:twoCellAnchor>
  <xdr:twoCellAnchor editAs="oneCell">
    <xdr:from>
      <xdr:col>2</xdr:col>
      <xdr:colOff>253797</xdr:colOff>
      <xdr:row>40</xdr:row>
      <xdr:rowOff>44660</xdr:rowOff>
    </xdr:from>
    <xdr:to>
      <xdr:col>4</xdr:col>
      <xdr:colOff>705</xdr:colOff>
      <xdr:row>43</xdr:row>
      <xdr:rowOff>70972</xdr:rowOff>
    </xdr:to>
    <xdr:pic>
      <xdr:nvPicPr>
        <xdr:cNvPr id="22" name="Image 21">
          <a:extLst>
            <a:ext uri="{FF2B5EF4-FFF2-40B4-BE49-F238E27FC236}">
              <a16:creationId xmlns:a16="http://schemas.microsoft.com/office/drawing/2014/main" id="{86051BFE-480F-4746-996D-5D73C36324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4259" y="8895583"/>
          <a:ext cx="1781164" cy="679454"/>
        </a:xfrm>
        <a:prstGeom prst="rect">
          <a:avLst/>
        </a:prstGeom>
      </xdr:spPr>
    </xdr:pic>
    <xdr:clientData/>
  </xdr:twoCellAnchor>
  <xdr:twoCellAnchor editAs="oneCell">
    <xdr:from>
      <xdr:col>5</xdr:col>
      <xdr:colOff>745660</xdr:colOff>
      <xdr:row>38</xdr:row>
      <xdr:rowOff>23813</xdr:rowOff>
    </xdr:from>
    <xdr:to>
      <xdr:col>6</xdr:col>
      <xdr:colOff>712536</xdr:colOff>
      <xdr:row>45</xdr:row>
      <xdr:rowOff>169332</xdr:rowOff>
    </xdr:to>
    <xdr:pic>
      <xdr:nvPicPr>
        <xdr:cNvPr id="24" name="Image 23">
          <a:extLst>
            <a:ext uri="{FF2B5EF4-FFF2-40B4-BE49-F238E27FC236}">
              <a16:creationId xmlns:a16="http://schemas.microsoft.com/office/drawing/2014/main" id="{41C5563E-9466-41AE-8340-D17F000DA7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79660" y="7968369"/>
          <a:ext cx="750043" cy="1669520"/>
        </a:xfrm>
        <a:prstGeom prst="rect">
          <a:avLst/>
        </a:prstGeom>
      </xdr:spPr>
    </xdr:pic>
    <xdr:clientData/>
  </xdr:twoCellAnchor>
  <xdr:twoCellAnchor editAs="oneCell">
    <xdr:from>
      <xdr:col>2</xdr:col>
      <xdr:colOff>209268</xdr:colOff>
      <xdr:row>48</xdr:row>
      <xdr:rowOff>4223</xdr:rowOff>
    </xdr:from>
    <xdr:to>
      <xdr:col>3</xdr:col>
      <xdr:colOff>765859</xdr:colOff>
      <xdr:row>51</xdr:row>
      <xdr:rowOff>85776</xdr:rowOff>
    </xdr:to>
    <xdr:pic>
      <xdr:nvPicPr>
        <xdr:cNvPr id="26" name="Image 25">
          <a:extLst>
            <a:ext uri="{FF2B5EF4-FFF2-40B4-BE49-F238E27FC236}">
              <a16:creationId xmlns:a16="http://schemas.microsoft.com/office/drawing/2014/main" id="{179D7A21-BDC9-4982-92A6-78548096FE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85"/>
        <a:stretch/>
      </xdr:blipFill>
      <xdr:spPr>
        <a:xfrm>
          <a:off x="2729730" y="10621981"/>
          <a:ext cx="1812634" cy="784937"/>
        </a:xfrm>
        <a:prstGeom prst="rect">
          <a:avLst/>
        </a:prstGeom>
      </xdr:spPr>
    </xdr:pic>
    <xdr:clientData/>
  </xdr:twoCellAnchor>
  <xdr:twoCellAnchor editAs="oneCell">
    <xdr:from>
      <xdr:col>3</xdr:col>
      <xdr:colOff>128491</xdr:colOff>
      <xdr:row>51</xdr:row>
      <xdr:rowOff>185896</xdr:rowOff>
    </xdr:from>
    <xdr:to>
      <xdr:col>3</xdr:col>
      <xdr:colOff>753772</xdr:colOff>
      <xdr:row>55</xdr:row>
      <xdr:rowOff>70440</xdr:rowOff>
    </xdr:to>
    <xdr:pic>
      <xdr:nvPicPr>
        <xdr:cNvPr id="28" name="Image 27">
          <a:extLst>
            <a:ext uri="{FF2B5EF4-FFF2-40B4-BE49-F238E27FC236}">
              <a16:creationId xmlns:a16="http://schemas.microsoft.com/office/drawing/2014/main" id="{C77D43D7-AAED-45D2-9AE2-DCD1B5CE57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4996" y="11507039"/>
          <a:ext cx="625281" cy="830764"/>
        </a:xfrm>
        <a:prstGeom prst="rect">
          <a:avLst/>
        </a:prstGeom>
      </xdr:spPr>
    </xdr:pic>
    <xdr:clientData/>
  </xdr:twoCellAnchor>
  <xdr:twoCellAnchor editAs="oneCell">
    <xdr:from>
      <xdr:col>6</xdr:col>
      <xdr:colOff>92204</xdr:colOff>
      <xdr:row>54</xdr:row>
      <xdr:rowOff>162530</xdr:rowOff>
    </xdr:from>
    <xdr:to>
      <xdr:col>9</xdr:col>
      <xdr:colOff>63767</xdr:colOff>
      <xdr:row>55</xdr:row>
      <xdr:rowOff>194659</xdr:rowOff>
    </xdr:to>
    <xdr:pic>
      <xdr:nvPicPr>
        <xdr:cNvPr id="30" name="Image 29">
          <a:extLst>
            <a:ext uri="{FF2B5EF4-FFF2-40B4-BE49-F238E27FC236}">
              <a16:creationId xmlns:a16="http://schemas.microsoft.com/office/drawing/2014/main" id="{6F3DB438-59AB-4166-89DE-46512E3064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3464" y="12232442"/>
          <a:ext cx="2329132" cy="229996"/>
        </a:xfrm>
        <a:prstGeom prst="rect">
          <a:avLst/>
        </a:prstGeom>
      </xdr:spPr>
    </xdr:pic>
    <xdr:clientData/>
  </xdr:twoCellAnchor>
  <xdr:twoCellAnchor editAs="oneCell">
    <xdr:from>
      <xdr:col>10</xdr:col>
      <xdr:colOff>345108</xdr:colOff>
      <xdr:row>0</xdr:row>
      <xdr:rowOff>82826</xdr:rowOff>
    </xdr:from>
    <xdr:to>
      <xdr:col>14</xdr:col>
      <xdr:colOff>635000</xdr:colOff>
      <xdr:row>10</xdr:row>
      <xdr:rowOff>126827</xdr:rowOff>
    </xdr:to>
    <xdr:pic macro="[0]!Image11_Cliquer">
      <xdr:nvPicPr>
        <xdr:cNvPr id="12" name="Image 11">
          <a:extLst>
            <a:ext uri="{FF2B5EF4-FFF2-40B4-BE49-F238E27FC236}">
              <a16:creationId xmlns:a16="http://schemas.microsoft.com/office/drawing/2014/main" id="{1351FB84-3D6A-6F94-24B7-0DB43C485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4130" y="82826"/>
          <a:ext cx="3906631" cy="21974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3:AZ147"/>
  <sheetViews>
    <sheetView tabSelected="1" zoomScale="69" zoomScaleNormal="115" workbookViewId="0">
      <selection activeCell="I6" sqref="I6"/>
    </sheetView>
  </sheetViews>
  <sheetFormatPr baseColWidth="10" defaultRowHeight="15" x14ac:dyDescent="0.25"/>
  <cols>
    <col min="1" max="1" width="25.140625" bestFit="1" customWidth="1"/>
    <col min="3" max="3" width="18.28515625" style="4" bestFit="1" customWidth="1"/>
    <col min="4" max="8" width="11.42578125" style="4"/>
    <col min="13" max="13" width="16.7109375" bestFit="1" customWidth="1"/>
    <col min="14" max="14" width="14.7109375" bestFit="1" customWidth="1"/>
    <col min="15" max="15" width="11.5703125" customWidth="1"/>
    <col min="36" max="36" width="30.42578125" bestFit="1" customWidth="1"/>
    <col min="38" max="38" width="13.28515625" customWidth="1"/>
    <col min="40" max="40" width="28.7109375" customWidth="1"/>
    <col min="41" max="41" width="30.5703125" customWidth="1"/>
  </cols>
  <sheetData>
    <row r="3" spans="1:51" x14ac:dyDescent="0.25">
      <c r="C3" s="88" t="s">
        <v>311</v>
      </c>
      <c r="D3" s="88"/>
      <c r="E3" s="88"/>
    </row>
    <row r="4" spans="1:51" ht="18.75" x14ac:dyDescent="0.25">
      <c r="C4" s="88"/>
      <c r="D4" s="88"/>
      <c r="E4" s="88"/>
      <c r="AM4" s="170" t="s">
        <v>67</v>
      </c>
      <c r="AN4" s="170" t="s">
        <v>68</v>
      </c>
      <c r="AO4" s="170"/>
      <c r="AP4" s="169" t="s">
        <v>69</v>
      </c>
      <c r="AQ4" s="170" t="s">
        <v>70</v>
      </c>
      <c r="AR4" s="170"/>
      <c r="AS4" s="170"/>
      <c r="AT4" s="171" t="s">
        <v>71</v>
      </c>
      <c r="AU4" s="172"/>
      <c r="AV4" s="173"/>
      <c r="AW4" s="169" t="s">
        <v>17</v>
      </c>
      <c r="AX4" s="170" t="s">
        <v>72</v>
      </c>
      <c r="AY4" s="170"/>
    </row>
    <row r="5" spans="1:51" ht="18.75" x14ac:dyDescent="0.25">
      <c r="AM5" s="170"/>
      <c r="AN5" s="170"/>
      <c r="AO5" s="170"/>
      <c r="AP5" s="169"/>
      <c r="AQ5" s="27" t="s">
        <v>23</v>
      </c>
      <c r="AR5" s="27" t="s">
        <v>73</v>
      </c>
      <c r="AS5" s="27" t="s">
        <v>74</v>
      </c>
      <c r="AT5" s="28" t="s">
        <v>75</v>
      </c>
      <c r="AU5" s="27" t="s">
        <v>76</v>
      </c>
      <c r="AV5" s="27" t="s">
        <v>77</v>
      </c>
      <c r="AW5" s="169"/>
      <c r="AX5" s="29" t="s">
        <v>78</v>
      </c>
      <c r="AY5" s="29" t="s">
        <v>79</v>
      </c>
    </row>
    <row r="6" spans="1:51" ht="15.75" x14ac:dyDescent="0.25">
      <c r="C6" s="92" t="s">
        <v>320</v>
      </c>
      <c r="D6" s="92"/>
      <c r="E6" s="92"/>
      <c r="AM6" s="30" t="s">
        <v>80</v>
      </c>
      <c r="AN6" s="140" t="s">
        <v>81</v>
      </c>
      <c r="AO6" s="141"/>
      <c r="AP6" s="141"/>
      <c r="AQ6" s="141"/>
      <c r="AR6" s="141"/>
      <c r="AS6" s="141"/>
      <c r="AT6" s="141"/>
      <c r="AU6" s="141"/>
      <c r="AV6" s="141"/>
      <c r="AW6" s="141"/>
      <c r="AX6" s="141"/>
      <c r="AY6" s="142"/>
    </row>
    <row r="7" spans="1:51" ht="15.75" x14ac:dyDescent="0.25">
      <c r="C7" s="75"/>
      <c r="D7" s="75"/>
      <c r="E7" s="75"/>
      <c r="AM7" s="30"/>
      <c r="AN7" s="62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4"/>
    </row>
    <row r="8" spans="1:51" ht="15.75" x14ac:dyDescent="0.25">
      <c r="C8" s="93" t="s">
        <v>317</v>
      </c>
      <c r="D8" s="93"/>
      <c r="E8" s="76">
        <v>1.95</v>
      </c>
      <c r="AM8" s="30"/>
      <c r="AN8" s="62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4"/>
    </row>
    <row r="9" spans="1:51" ht="18.75" x14ac:dyDescent="0.25">
      <c r="C9" s="93" t="s">
        <v>316</v>
      </c>
      <c r="D9" s="93"/>
      <c r="E9" s="76">
        <v>1.6</v>
      </c>
      <c r="AM9" s="31" t="s">
        <v>82</v>
      </c>
      <c r="AN9" s="174" t="s">
        <v>83</v>
      </c>
      <c r="AO9" s="175"/>
      <c r="AP9" s="32"/>
      <c r="AQ9" s="54">
        <f>18.8+1*2</f>
        <v>20.8</v>
      </c>
      <c r="AR9" s="54">
        <f>15.45+1*2</f>
        <v>17.45</v>
      </c>
      <c r="AS9" s="31">
        <v>0.1</v>
      </c>
      <c r="AT9" s="31"/>
      <c r="AU9" s="31"/>
      <c r="AV9" s="55"/>
      <c r="AW9" s="31" t="s">
        <v>84</v>
      </c>
      <c r="AX9" s="31">
        <f>AQ9*AR9*AS9</f>
        <v>36.295999999999999</v>
      </c>
      <c r="AY9" s="33">
        <f t="shared" ref="AY9:AY14" si="0">AX9</f>
        <v>36.295999999999999</v>
      </c>
    </row>
    <row r="10" spans="1:51" ht="23.25" x14ac:dyDescent="0.25">
      <c r="C10" s="6" t="s">
        <v>0</v>
      </c>
      <c r="AM10" s="31" t="s">
        <v>85</v>
      </c>
      <c r="AN10" s="143" t="s">
        <v>289</v>
      </c>
      <c r="AO10" s="144"/>
      <c r="AP10" s="31"/>
      <c r="AQ10" s="58">
        <v>84.9</v>
      </c>
      <c r="AR10" s="58">
        <f>0.45</f>
        <v>0.45</v>
      </c>
      <c r="AS10" s="31">
        <v>0.6</v>
      </c>
      <c r="AT10" s="31"/>
      <c r="AU10" s="31"/>
      <c r="AV10" s="31"/>
      <c r="AW10" s="31" t="s">
        <v>84</v>
      </c>
      <c r="AX10" s="31">
        <f>AQ10*AR10*AS10</f>
        <v>22.923000000000002</v>
      </c>
      <c r="AY10" s="33">
        <f t="shared" si="0"/>
        <v>22.923000000000002</v>
      </c>
    </row>
    <row r="11" spans="1:51" ht="21" x14ac:dyDescent="0.25">
      <c r="A11" s="98" t="s">
        <v>19</v>
      </c>
      <c r="B11" s="98"/>
      <c r="C11" s="98"/>
      <c r="D11" s="98"/>
      <c r="E11" s="5" t="s">
        <v>17</v>
      </c>
      <c r="F11" s="5" t="s">
        <v>18</v>
      </c>
      <c r="H11" s="91" t="s">
        <v>315</v>
      </c>
      <c r="I11" s="91"/>
      <c r="J11" s="91"/>
      <c r="AM11" s="31" t="s">
        <v>86</v>
      </c>
      <c r="AN11" s="143" t="s">
        <v>87</v>
      </c>
      <c r="AO11" s="144"/>
      <c r="AP11" s="31"/>
      <c r="AQ11" s="31">
        <f>AQ10</f>
        <v>84.9</v>
      </c>
      <c r="AR11" s="31">
        <f>AR10</f>
        <v>0.45</v>
      </c>
      <c r="AS11" s="31">
        <v>0.6</v>
      </c>
      <c r="AT11" s="31"/>
      <c r="AU11" s="31"/>
      <c r="AV11" s="31"/>
      <c r="AW11" s="31" t="s">
        <v>84</v>
      </c>
      <c r="AX11" s="31">
        <f>(AQ11*AR11*AS11)*1.5</f>
        <v>34.384500000000003</v>
      </c>
      <c r="AY11" s="33">
        <f t="shared" si="0"/>
        <v>34.384500000000003</v>
      </c>
    </row>
    <row r="12" spans="1:51" ht="18.75" x14ac:dyDescent="0.25">
      <c r="A12" s="1" t="s">
        <v>1</v>
      </c>
      <c r="K12" s="7" t="s">
        <v>30</v>
      </c>
      <c r="L12" s="8" t="s">
        <v>31</v>
      </c>
      <c r="M12" s="7" t="s">
        <v>32</v>
      </c>
      <c r="N12" s="8" t="s">
        <v>29</v>
      </c>
      <c r="O12" s="8" t="s">
        <v>33</v>
      </c>
      <c r="AM12" s="31" t="s">
        <v>88</v>
      </c>
      <c r="AN12" s="165" t="s">
        <v>89</v>
      </c>
      <c r="AO12" s="166"/>
      <c r="AP12" s="34"/>
      <c r="AQ12" s="54">
        <v>18.8</v>
      </c>
      <c r="AR12" s="54">
        <v>15.45</v>
      </c>
      <c r="AS12" s="31"/>
      <c r="AT12" s="31"/>
      <c r="AU12" s="31"/>
      <c r="AV12" s="37"/>
      <c r="AW12" s="31" t="s">
        <v>90</v>
      </c>
      <c r="AX12" s="31">
        <f>AQ12*AR12</f>
        <v>290.45999999999998</v>
      </c>
      <c r="AY12" s="33">
        <f t="shared" si="0"/>
        <v>290.45999999999998</v>
      </c>
    </row>
    <row r="13" spans="1:51" ht="18.75" x14ac:dyDescent="0.25">
      <c r="A13" s="2" t="s">
        <v>54</v>
      </c>
      <c r="H13" s="128" t="s">
        <v>28</v>
      </c>
      <c r="I13" s="128"/>
      <c r="J13" s="128"/>
      <c r="K13" s="112">
        <v>0.6</v>
      </c>
      <c r="L13" s="112">
        <v>0.6</v>
      </c>
      <c r="M13" s="112">
        <v>0.05</v>
      </c>
      <c r="N13" s="112">
        <v>6</v>
      </c>
      <c r="O13" s="137">
        <f>K13*L13*M13*N13</f>
        <v>0.10799999999999998</v>
      </c>
      <c r="AM13" s="31" t="s">
        <v>91</v>
      </c>
      <c r="AN13" s="167" t="s">
        <v>92</v>
      </c>
      <c r="AO13" s="168"/>
      <c r="AP13" s="35"/>
      <c r="AQ13" s="54">
        <v>18.8</v>
      </c>
      <c r="AR13" s="54">
        <v>15.45</v>
      </c>
      <c r="AS13" s="31"/>
      <c r="AT13" s="31"/>
      <c r="AU13" s="31"/>
      <c r="AV13" s="37"/>
      <c r="AW13" s="31" t="s">
        <v>90</v>
      </c>
      <c r="AX13" s="31">
        <f>AQ13*AR13</f>
        <v>290.45999999999998</v>
      </c>
      <c r="AY13" s="33">
        <f t="shared" si="0"/>
        <v>290.45999999999998</v>
      </c>
    </row>
    <row r="14" spans="1:51" ht="18.75" x14ac:dyDescent="0.25">
      <c r="A14" s="1" t="s">
        <v>5</v>
      </c>
      <c r="C14" s="5" t="s">
        <v>16</v>
      </c>
      <c r="D14" s="4">
        <v>150</v>
      </c>
      <c r="E14" s="4" t="s">
        <v>20</v>
      </c>
      <c r="F14" s="5">
        <f>O13</f>
        <v>0.10799999999999998</v>
      </c>
      <c r="H14" s="133" t="s">
        <v>59</v>
      </c>
      <c r="I14" s="133"/>
      <c r="J14" s="23">
        <v>1.95</v>
      </c>
      <c r="K14" s="113"/>
      <c r="L14" s="113"/>
      <c r="M14" s="113"/>
      <c r="N14" s="113"/>
      <c r="O14" s="115"/>
      <c r="AM14" s="31" t="s">
        <v>93</v>
      </c>
      <c r="AN14" s="167" t="s">
        <v>94</v>
      </c>
      <c r="AO14" s="168"/>
      <c r="AP14" s="35"/>
      <c r="AQ14" s="54">
        <v>18.8</v>
      </c>
      <c r="AR14" s="54">
        <v>15.45</v>
      </c>
      <c r="AS14" s="31"/>
      <c r="AT14" s="31"/>
      <c r="AU14" s="31"/>
      <c r="AV14" s="37"/>
      <c r="AW14" s="31" t="s">
        <v>90</v>
      </c>
      <c r="AX14" s="31">
        <f>0.5*(AQ14*AR14)-AX10</f>
        <v>122.30699999999999</v>
      </c>
      <c r="AY14" s="33">
        <f t="shared" si="0"/>
        <v>122.30699999999999</v>
      </c>
    </row>
    <row r="15" spans="1:51" ht="17.25" x14ac:dyDescent="0.25">
      <c r="A15" t="s">
        <v>2</v>
      </c>
      <c r="E15" s="4" t="s">
        <v>21</v>
      </c>
      <c r="F15" s="9">
        <f>F14*D14</f>
        <v>16.2</v>
      </c>
      <c r="H15" s="129" t="s">
        <v>314</v>
      </c>
      <c r="I15" s="129"/>
      <c r="J15" s="129"/>
      <c r="AI15" s="98" t="s">
        <v>306</v>
      </c>
      <c r="AJ15" s="98"/>
      <c r="AK15" s="98"/>
      <c r="AL15" s="99"/>
      <c r="AM15" s="36" t="s">
        <v>95</v>
      </c>
      <c r="AN15" s="140" t="s">
        <v>96</v>
      </c>
      <c r="AO15" s="141"/>
      <c r="AP15" s="141"/>
      <c r="AQ15" s="141"/>
      <c r="AR15" s="141"/>
      <c r="AS15" s="141"/>
      <c r="AT15" s="141"/>
      <c r="AU15" s="141"/>
      <c r="AV15" s="141"/>
      <c r="AW15" s="141"/>
      <c r="AX15" s="141"/>
      <c r="AY15" s="142"/>
    </row>
    <row r="16" spans="1:51" ht="18.75" x14ac:dyDescent="0.25">
      <c r="A16" t="s">
        <v>3</v>
      </c>
      <c r="E16" s="4" t="s">
        <v>22</v>
      </c>
      <c r="F16" s="4">
        <f>F14*0.4</f>
        <v>4.3199999999999995E-2</v>
      </c>
      <c r="H16" s="110" t="s">
        <v>34</v>
      </c>
      <c r="I16" s="110"/>
      <c r="J16" s="110"/>
      <c r="O16" s="11" t="s">
        <v>41</v>
      </c>
      <c r="P16" s="12">
        <f>F15/50</f>
        <v>0.32400000000000001</v>
      </c>
      <c r="AI16" s="98" t="s">
        <v>307</v>
      </c>
      <c r="AJ16" s="98"/>
      <c r="AK16" s="98"/>
      <c r="AL16" s="99"/>
      <c r="AM16" s="31" t="s">
        <v>97</v>
      </c>
      <c r="AN16" s="145" t="s">
        <v>98</v>
      </c>
      <c r="AO16" s="146"/>
      <c r="AP16" s="31"/>
      <c r="AQ16" s="31">
        <f>AQ10</f>
        <v>84.9</v>
      </c>
      <c r="AR16" s="31">
        <f>AR10</f>
        <v>0.45</v>
      </c>
      <c r="AS16" s="31">
        <v>0.05</v>
      </c>
      <c r="AT16" s="31"/>
      <c r="AU16" s="31"/>
      <c r="AV16" s="31"/>
      <c r="AW16" s="31" t="s">
        <v>84</v>
      </c>
      <c r="AX16" s="31">
        <f>AQ16*AR16*AS16</f>
        <v>1.9102500000000004</v>
      </c>
      <c r="AY16" s="33">
        <f>AX16</f>
        <v>1.9102500000000004</v>
      </c>
    </row>
    <row r="17" spans="1:51" ht="18.75" x14ac:dyDescent="0.25">
      <c r="A17" t="s">
        <v>4</v>
      </c>
      <c r="E17" s="4" t="s">
        <v>22</v>
      </c>
      <c r="F17" s="4">
        <f>F14*0.8</f>
        <v>8.6399999999999991E-2</v>
      </c>
      <c r="H17" s="110" t="s">
        <v>35</v>
      </c>
      <c r="I17" s="110"/>
      <c r="J17" s="110"/>
      <c r="L17" s="130" t="s">
        <v>42</v>
      </c>
      <c r="M17" s="130"/>
      <c r="AJ17" s="4"/>
      <c r="AK17" s="4"/>
      <c r="AL17" s="4"/>
      <c r="AM17" s="31" t="s">
        <v>99</v>
      </c>
      <c r="AN17" s="145" t="s">
        <v>100</v>
      </c>
      <c r="AO17" s="146"/>
      <c r="AP17" s="31"/>
      <c r="AQ17" s="31">
        <f>AQ10</f>
        <v>84.9</v>
      </c>
      <c r="AR17" s="31">
        <f>AR10</f>
        <v>0.45</v>
      </c>
      <c r="AS17" s="31">
        <v>0.15</v>
      </c>
      <c r="AT17" s="31"/>
      <c r="AU17" s="31"/>
      <c r="AV17" s="31"/>
      <c r="AW17" s="31" t="s">
        <v>84</v>
      </c>
      <c r="AX17" s="31">
        <f>AQ17*AR17*AS17</f>
        <v>5.7307500000000005</v>
      </c>
      <c r="AY17" s="33">
        <f>AX17</f>
        <v>5.7307500000000005</v>
      </c>
    </row>
    <row r="18" spans="1:51" ht="17.25" x14ac:dyDescent="0.25">
      <c r="A18" t="s">
        <v>7</v>
      </c>
      <c r="E18" s="4" t="s">
        <v>23</v>
      </c>
      <c r="F18" s="9">
        <f>F14*189</f>
        <v>20.411999999999995</v>
      </c>
      <c r="H18" s="110" t="s">
        <v>36</v>
      </c>
      <c r="I18" s="110"/>
      <c r="J18" s="110"/>
      <c r="K18" s="10" t="s">
        <v>30</v>
      </c>
      <c r="L18" s="8" t="s">
        <v>31</v>
      </c>
      <c r="M18" s="7" t="s">
        <v>38</v>
      </c>
      <c r="N18" s="8" t="s">
        <v>29</v>
      </c>
      <c r="O18" s="8" t="s">
        <v>39</v>
      </c>
      <c r="AJ18" s="4" t="s">
        <v>291</v>
      </c>
      <c r="AK18" s="4" t="s">
        <v>292</v>
      </c>
      <c r="AL18" s="4" t="s">
        <v>17</v>
      </c>
      <c r="AM18" s="31" t="s">
        <v>101</v>
      </c>
      <c r="AN18" s="143" t="s">
        <v>102</v>
      </c>
      <c r="AO18" s="144"/>
      <c r="AP18" s="31">
        <v>3</v>
      </c>
      <c r="AQ18" s="31">
        <f>AQ10</f>
        <v>84.9</v>
      </c>
      <c r="AR18" s="31"/>
      <c r="AS18" s="31"/>
      <c r="AT18" s="31">
        <v>8</v>
      </c>
      <c r="AU18" s="31">
        <v>0.61699999999999999</v>
      </c>
      <c r="AV18" s="31"/>
      <c r="AW18" s="31" t="s">
        <v>21</v>
      </c>
      <c r="AX18" s="31">
        <f>AQ18*AU18</f>
        <v>52.383300000000006</v>
      </c>
      <c r="AY18" s="33">
        <f>AP18*AX18</f>
        <v>157.1499</v>
      </c>
    </row>
    <row r="19" spans="1:51" ht="17.25" x14ac:dyDescent="0.25">
      <c r="A19" s="1" t="s">
        <v>6</v>
      </c>
      <c r="D19" s="4">
        <v>350</v>
      </c>
      <c r="E19" s="4" t="s">
        <v>20</v>
      </c>
      <c r="F19" s="5">
        <f>O19</f>
        <v>0.54</v>
      </c>
      <c r="H19" s="132" t="s">
        <v>40</v>
      </c>
      <c r="I19" s="132"/>
      <c r="J19" s="132"/>
      <c r="K19" s="118">
        <v>0.6</v>
      </c>
      <c r="L19" s="118">
        <v>0.6</v>
      </c>
      <c r="M19" s="118">
        <v>0.25</v>
      </c>
      <c r="N19" s="118">
        <v>6</v>
      </c>
      <c r="O19" s="118">
        <f>K19*L19*M19*N19</f>
        <v>0.54</v>
      </c>
      <c r="AJ19" s="56" t="s">
        <v>290</v>
      </c>
      <c r="AK19" s="4">
        <v>0.15</v>
      </c>
      <c r="AL19" s="4" t="s">
        <v>293</v>
      </c>
      <c r="AM19" s="31" t="s">
        <v>103</v>
      </c>
      <c r="AN19" s="143" t="s">
        <v>104</v>
      </c>
      <c r="AO19" s="144"/>
      <c r="AP19" s="31">
        <f>ROUND((AQ17/AK19)+1,0)</f>
        <v>567</v>
      </c>
      <c r="AQ19" s="31">
        <f>(0.45-0.06)+(10*AT19*10^-3)*2</f>
        <v>0.59000000000000008</v>
      </c>
      <c r="AR19" s="31"/>
      <c r="AS19" s="31"/>
      <c r="AT19" s="31">
        <v>10</v>
      </c>
      <c r="AU19" s="31">
        <v>1.208</v>
      </c>
      <c r="AV19" s="31"/>
      <c r="AW19" s="31" t="s">
        <v>21</v>
      </c>
      <c r="AX19" s="31">
        <f>AQ19*AU19</f>
        <v>0.71272000000000002</v>
      </c>
      <c r="AY19" s="33">
        <f>AP19*AX19</f>
        <v>404.11223999999999</v>
      </c>
    </row>
    <row r="20" spans="1:51" ht="18.75" x14ac:dyDescent="0.25">
      <c r="A20" t="s">
        <v>2</v>
      </c>
      <c r="E20" s="4" t="s">
        <v>21</v>
      </c>
      <c r="F20" s="4">
        <f>F19*D19</f>
        <v>189</v>
      </c>
      <c r="K20" s="119"/>
      <c r="L20" s="119"/>
      <c r="M20" s="119"/>
      <c r="N20" s="119"/>
      <c r="O20" s="119"/>
      <c r="AJ20" s="4"/>
      <c r="AK20" s="4"/>
      <c r="AL20" s="4"/>
      <c r="AM20" s="31" t="s">
        <v>105</v>
      </c>
      <c r="AN20" s="145" t="s">
        <v>106</v>
      </c>
      <c r="AO20" s="146"/>
      <c r="AP20" s="31">
        <v>23</v>
      </c>
      <c r="AQ20" s="31">
        <v>0.65</v>
      </c>
      <c r="AR20" s="31">
        <v>0.15</v>
      </c>
      <c r="AS20" s="31">
        <v>0.15</v>
      </c>
      <c r="AT20" s="31"/>
      <c r="AU20" s="31"/>
      <c r="AV20" s="31"/>
      <c r="AW20" s="31" t="s">
        <v>84</v>
      </c>
      <c r="AX20" s="31">
        <f>AQ20*AR20*AS20</f>
        <v>1.4624999999999999E-2</v>
      </c>
      <c r="AY20" s="33">
        <f t="shared" ref="AY20:AY28" si="1">AP20*AX20</f>
        <v>0.33637499999999998</v>
      </c>
    </row>
    <row r="21" spans="1:51" ht="17.25" x14ac:dyDescent="0.25">
      <c r="A21" t="s">
        <v>3</v>
      </c>
      <c r="E21" s="4" t="s">
        <v>22</v>
      </c>
      <c r="F21" s="4">
        <f>F19*0.4</f>
        <v>0.21600000000000003</v>
      </c>
      <c r="AJ21" s="56" t="s">
        <v>294</v>
      </c>
      <c r="AK21" s="4" t="s">
        <v>295</v>
      </c>
      <c r="AL21" s="4" t="s">
        <v>293</v>
      </c>
      <c r="AM21" s="31" t="s">
        <v>107</v>
      </c>
      <c r="AN21" s="143" t="s">
        <v>301</v>
      </c>
      <c r="AO21" s="144"/>
      <c r="AP21" s="31">
        <v>4</v>
      </c>
      <c r="AQ21" s="57">
        <f>(13*0.8+90+50*0.8)*0.01</f>
        <v>1.4040000000000001</v>
      </c>
      <c r="AR21" s="31"/>
      <c r="AS21" s="31"/>
      <c r="AT21" s="31">
        <v>10</v>
      </c>
      <c r="AU21" s="31">
        <v>1.208</v>
      </c>
      <c r="AV21" s="31"/>
      <c r="AW21" s="31" t="s">
        <v>21</v>
      </c>
      <c r="AX21" s="31">
        <f>AQ21*AU21*AP20</f>
        <v>39.008736000000006</v>
      </c>
      <c r="AY21" s="33">
        <f>AP21*AX21</f>
        <v>156.03494400000002</v>
      </c>
    </row>
    <row r="22" spans="1:51" ht="17.25" x14ac:dyDescent="0.25">
      <c r="A22" t="s">
        <v>4</v>
      </c>
      <c r="E22" s="4" t="s">
        <v>22</v>
      </c>
      <c r="F22" s="4">
        <f>F19*0.8</f>
        <v>0.43200000000000005</v>
      </c>
      <c r="H22" s="22" t="s">
        <v>51</v>
      </c>
      <c r="I22" s="22"/>
      <c r="J22" s="22"/>
      <c r="O22" s="11" t="s">
        <v>41</v>
      </c>
      <c r="P22" s="13">
        <f>ROUNDUP(F20/50,0)</f>
        <v>4</v>
      </c>
      <c r="AG22" s="100" t="s">
        <v>298</v>
      </c>
      <c r="AH22" s="100"/>
      <c r="AI22" s="4">
        <v>0.15</v>
      </c>
      <c r="AJ22" s="56" t="s">
        <v>296</v>
      </c>
      <c r="AK22" s="4" t="s">
        <v>297</v>
      </c>
      <c r="AL22" s="4" t="s">
        <v>293</v>
      </c>
      <c r="AM22" s="31" t="s">
        <v>109</v>
      </c>
      <c r="AN22" s="143" t="s">
        <v>110</v>
      </c>
      <c r="AO22" s="144"/>
      <c r="AP22" s="31">
        <f>ROUND((0.8/AI22)+1,0)</f>
        <v>6</v>
      </c>
      <c r="AQ22" s="57">
        <v>0.52</v>
      </c>
      <c r="AR22" s="31"/>
      <c r="AS22" s="31"/>
      <c r="AT22" s="31">
        <v>6</v>
      </c>
      <c r="AU22" s="31">
        <v>0.222</v>
      </c>
      <c r="AV22" s="31"/>
      <c r="AW22" s="31" t="s">
        <v>21</v>
      </c>
      <c r="AX22" s="31">
        <f>AQ22*AU22*AP20</f>
        <v>2.6551200000000001</v>
      </c>
      <c r="AY22" s="33">
        <f>AP22*AX22</f>
        <v>15.930720000000001</v>
      </c>
    </row>
    <row r="23" spans="1:51" ht="14.45" customHeight="1" x14ac:dyDescent="0.25">
      <c r="A23" s="69" t="s">
        <v>47</v>
      </c>
      <c r="E23" s="87" t="s">
        <v>24</v>
      </c>
      <c r="F23" s="87"/>
      <c r="G23" s="1" t="s">
        <v>25</v>
      </c>
      <c r="H23" s="108" t="s">
        <v>62</v>
      </c>
      <c r="I23" s="108"/>
      <c r="J23" s="108"/>
      <c r="K23" s="108"/>
      <c r="L23" s="108"/>
      <c r="M23" s="108"/>
      <c r="O23" s="11"/>
      <c r="P23" s="13"/>
      <c r="AJ23" s="4"/>
      <c r="AK23" s="4"/>
      <c r="AL23" s="4"/>
      <c r="AM23" s="31" t="s">
        <v>111</v>
      </c>
      <c r="AN23" s="143" t="s">
        <v>112</v>
      </c>
      <c r="AO23" s="144"/>
      <c r="AP23" s="58">
        <v>4</v>
      </c>
      <c r="AQ23" s="31"/>
      <c r="AR23" s="31">
        <v>0.15</v>
      </c>
      <c r="AS23" s="31">
        <v>0.65</v>
      </c>
      <c r="AT23" s="31"/>
      <c r="AU23" s="31"/>
      <c r="AV23" s="31"/>
      <c r="AW23" s="31" t="s">
        <v>90</v>
      </c>
      <c r="AX23" s="31">
        <f>AR23*AS23*AP20</f>
        <v>2.2425000000000002</v>
      </c>
      <c r="AY23" s="33">
        <f>AP23*AX23</f>
        <v>8.9700000000000006</v>
      </c>
    </row>
    <row r="24" spans="1:51" ht="18.75" x14ac:dyDescent="0.25">
      <c r="A24" s="69" t="s">
        <v>52</v>
      </c>
      <c r="E24" s="87" t="s">
        <v>24</v>
      </c>
      <c r="G24" s="1" t="s">
        <v>25</v>
      </c>
      <c r="H24" s="108"/>
      <c r="I24" s="108"/>
      <c r="J24" s="108"/>
      <c r="K24" s="108"/>
      <c r="L24" s="108"/>
      <c r="M24" s="108"/>
      <c r="O24" s="11"/>
      <c r="P24" s="13"/>
      <c r="AM24" s="31" t="s">
        <v>113</v>
      </c>
      <c r="AN24" s="145" t="s">
        <v>114</v>
      </c>
      <c r="AO24" s="146"/>
      <c r="AP24" s="31"/>
      <c r="AQ24" s="31">
        <f>AQ10-(AP20*AR20)</f>
        <v>81.45</v>
      </c>
      <c r="AR24" s="31"/>
      <c r="AS24" s="31">
        <f>AQ20</f>
        <v>0.65</v>
      </c>
      <c r="AT24" s="31"/>
      <c r="AU24" s="31"/>
      <c r="AV24" s="31"/>
      <c r="AW24" s="31" t="s">
        <v>90</v>
      </c>
      <c r="AX24" s="31">
        <f>AQ24*AS24</f>
        <v>52.942500000000003</v>
      </c>
      <c r="AY24" s="33">
        <f>AX24</f>
        <v>52.942500000000003</v>
      </c>
    </row>
    <row r="25" spans="1:51" ht="18.75" x14ac:dyDescent="0.25">
      <c r="A25" t="s">
        <v>53</v>
      </c>
      <c r="E25" s="4" t="s">
        <v>24</v>
      </c>
      <c r="F25" s="4">
        <f>ROUNDUP((8*0.56*6)/12,0)</f>
        <v>3</v>
      </c>
      <c r="G25" s="1" t="s">
        <v>25</v>
      </c>
      <c r="H25" s="131" t="s">
        <v>43</v>
      </c>
      <c r="I25" s="131"/>
      <c r="J25" s="131"/>
      <c r="AM25" s="31" t="s">
        <v>115</v>
      </c>
      <c r="AN25" s="145" t="s">
        <v>116</v>
      </c>
      <c r="AO25" s="146"/>
      <c r="AP25" s="31"/>
      <c r="AQ25" s="31">
        <f>AQ10</f>
        <v>84.9</v>
      </c>
      <c r="AR25" s="31">
        <v>0.15</v>
      </c>
      <c r="AS25" s="31">
        <v>0.15</v>
      </c>
      <c r="AT25" s="31"/>
      <c r="AU25" s="31"/>
      <c r="AV25" s="31"/>
      <c r="AW25" s="31" t="s">
        <v>117</v>
      </c>
      <c r="AX25" s="31">
        <f>AQ25*AR25*AS25</f>
        <v>1.91025</v>
      </c>
      <c r="AY25" s="33">
        <f>AX25</f>
        <v>1.91025</v>
      </c>
    </row>
    <row r="26" spans="1:51" ht="15.75" x14ac:dyDescent="0.25">
      <c r="A26" t="s">
        <v>7</v>
      </c>
      <c r="E26" s="4" t="s">
        <v>23</v>
      </c>
      <c r="F26" s="9">
        <f>F19*189</f>
        <v>102.06</v>
      </c>
      <c r="AM26" s="31" t="s">
        <v>118</v>
      </c>
      <c r="AN26" s="143" t="s">
        <v>119</v>
      </c>
      <c r="AO26" s="144"/>
      <c r="AP26" s="31">
        <v>4</v>
      </c>
      <c r="AQ26" s="31">
        <f>AQ10</f>
        <v>84.9</v>
      </c>
      <c r="AR26" s="31"/>
      <c r="AS26" s="31"/>
      <c r="AT26" s="31">
        <v>8</v>
      </c>
      <c r="AU26" s="31">
        <v>0.61699999999999999</v>
      </c>
      <c r="AV26" s="31"/>
      <c r="AW26" s="31" t="s">
        <v>21</v>
      </c>
      <c r="AX26" s="31">
        <f>AQ26*AU26</f>
        <v>52.383300000000006</v>
      </c>
      <c r="AY26" s="33">
        <f>AP26*AX26</f>
        <v>209.53320000000002</v>
      </c>
    </row>
    <row r="27" spans="1:51" ht="22.5" x14ac:dyDescent="0.25">
      <c r="A27" s="17" t="s">
        <v>8</v>
      </c>
      <c r="K27" s="10" t="s">
        <v>37</v>
      </c>
      <c r="L27" s="8" t="s">
        <v>31</v>
      </c>
      <c r="M27" s="7" t="s">
        <v>32</v>
      </c>
      <c r="N27" s="8" t="s">
        <v>29</v>
      </c>
      <c r="O27" s="8" t="s">
        <v>33</v>
      </c>
      <c r="AJ27" s="56" t="s">
        <v>298</v>
      </c>
      <c r="AK27" s="4">
        <v>0.15</v>
      </c>
      <c r="AL27" s="4" t="s">
        <v>293</v>
      </c>
      <c r="AM27" s="31" t="s">
        <v>120</v>
      </c>
      <c r="AN27" s="143" t="s">
        <v>110</v>
      </c>
      <c r="AO27" s="144"/>
      <c r="AP27" s="31">
        <f>ROUND((AQ26/AK27)+1,0)</f>
        <v>567</v>
      </c>
      <c r="AQ27" s="57">
        <v>0.52</v>
      </c>
      <c r="AR27" s="31"/>
      <c r="AS27" s="31"/>
      <c r="AT27" s="31">
        <v>6</v>
      </c>
      <c r="AU27" s="31">
        <v>0.222</v>
      </c>
      <c r="AV27" s="31"/>
      <c r="AW27" s="31" t="s">
        <v>21</v>
      </c>
      <c r="AX27" s="31">
        <f>AQ27*AU27</f>
        <v>0.11544</v>
      </c>
      <c r="AY27" s="33">
        <f>AP27*AX27</f>
        <v>65.454480000000004</v>
      </c>
    </row>
    <row r="28" spans="1:51" ht="18.75" x14ac:dyDescent="0.25">
      <c r="A28" s="1" t="s">
        <v>5</v>
      </c>
      <c r="D28" s="4">
        <v>150</v>
      </c>
      <c r="E28" s="4" t="s">
        <v>20</v>
      </c>
      <c r="F28" s="70">
        <f>O28</f>
        <v>0.46724999999999994</v>
      </c>
      <c r="K28" s="112">
        <v>31.15</v>
      </c>
      <c r="L28" s="112">
        <v>0.3</v>
      </c>
      <c r="M28" s="112">
        <v>0.05</v>
      </c>
      <c r="N28" s="112">
        <v>1</v>
      </c>
      <c r="O28" s="138">
        <f>K28*L28*M28*N28</f>
        <v>0.46724999999999994</v>
      </c>
      <c r="AM28" s="31" t="s">
        <v>121</v>
      </c>
      <c r="AN28" s="143" t="s">
        <v>112</v>
      </c>
      <c r="AO28" s="144"/>
      <c r="AP28" s="31">
        <v>2</v>
      </c>
      <c r="AQ28" s="31">
        <f>AQ10</f>
        <v>84.9</v>
      </c>
      <c r="AR28" s="31">
        <v>0.15</v>
      </c>
      <c r="AS28" s="31"/>
      <c r="AT28" s="31"/>
      <c r="AU28" s="31"/>
      <c r="AV28" s="31"/>
      <c r="AW28" s="31" t="s">
        <v>90</v>
      </c>
      <c r="AX28" s="31">
        <f>AQ28*AR28</f>
        <v>12.735000000000001</v>
      </c>
      <c r="AY28" s="33">
        <f t="shared" si="1"/>
        <v>25.470000000000002</v>
      </c>
    </row>
    <row r="29" spans="1:51" ht="18.75" x14ac:dyDescent="0.25">
      <c r="A29" t="s">
        <v>2</v>
      </c>
      <c r="E29" s="4" t="s">
        <v>21</v>
      </c>
      <c r="F29" s="4">
        <f>F28*D28</f>
        <v>70.087499999999991</v>
      </c>
      <c r="K29" s="113"/>
      <c r="L29" s="113"/>
      <c r="M29" s="113"/>
      <c r="N29" s="113"/>
      <c r="O29" s="139"/>
      <c r="AM29" s="31" t="s">
        <v>122</v>
      </c>
      <c r="AN29" s="143" t="s">
        <v>299</v>
      </c>
      <c r="AO29" s="144"/>
      <c r="AP29" s="31"/>
      <c r="AQ29" s="37">
        <v>18.8</v>
      </c>
      <c r="AR29" s="37">
        <v>15.45</v>
      </c>
      <c r="AS29" s="31">
        <v>0.1</v>
      </c>
      <c r="AT29" s="31"/>
      <c r="AU29" s="31"/>
      <c r="AV29" s="31"/>
      <c r="AW29" s="31" t="s">
        <v>117</v>
      </c>
      <c r="AX29" s="31">
        <f>AQ29*AR29*AS29</f>
        <v>29.045999999999999</v>
      </c>
      <c r="AY29" s="33">
        <f>AX29</f>
        <v>29.045999999999999</v>
      </c>
    </row>
    <row r="30" spans="1:51" ht="17.25" x14ac:dyDescent="0.25">
      <c r="A30" t="s">
        <v>3</v>
      </c>
      <c r="E30" s="4" t="s">
        <v>22</v>
      </c>
      <c r="F30" s="4">
        <f>F28*0.4</f>
        <v>0.18689999999999998</v>
      </c>
      <c r="O30" s="11" t="s">
        <v>41</v>
      </c>
      <c r="P30" s="12">
        <f>ROUNDUP(F29/50,0)</f>
        <v>2</v>
      </c>
      <c r="AM30" s="36" t="s">
        <v>123</v>
      </c>
      <c r="AN30" s="140" t="s">
        <v>124</v>
      </c>
      <c r="AO30" s="141"/>
      <c r="AP30" s="141"/>
      <c r="AQ30" s="141"/>
      <c r="AR30" s="141"/>
      <c r="AS30" s="141"/>
      <c r="AT30" s="141"/>
      <c r="AU30" s="141"/>
      <c r="AV30" s="141"/>
      <c r="AW30" s="141"/>
      <c r="AX30" s="141"/>
      <c r="AY30" s="142"/>
    </row>
    <row r="31" spans="1:51" ht="17.25" x14ac:dyDescent="0.25">
      <c r="A31" t="s">
        <v>4</v>
      </c>
      <c r="E31" s="4" t="s">
        <v>22</v>
      </c>
      <c r="F31" s="4">
        <f>F28*0.8</f>
        <v>0.37379999999999997</v>
      </c>
      <c r="O31" s="1"/>
      <c r="P31" s="14"/>
      <c r="AM31" s="38" t="s">
        <v>125</v>
      </c>
      <c r="AN31" s="153" t="s">
        <v>126</v>
      </c>
      <c r="AO31" s="154"/>
      <c r="AP31" s="39"/>
      <c r="AQ31" s="39"/>
      <c r="AR31" s="39"/>
      <c r="AS31" s="39"/>
      <c r="AT31" s="39"/>
      <c r="AU31" s="39"/>
      <c r="AV31" s="39"/>
      <c r="AW31" s="39"/>
      <c r="AX31" s="39"/>
      <c r="AY31" s="39"/>
    </row>
    <row r="32" spans="1:51" ht="18.75" x14ac:dyDescent="0.25">
      <c r="A32" t="s">
        <v>7</v>
      </c>
      <c r="E32" s="4" t="s">
        <v>23</v>
      </c>
      <c r="F32" s="9">
        <f>F28*189</f>
        <v>88.310249999999996</v>
      </c>
      <c r="O32" s="1"/>
      <c r="P32" s="14"/>
      <c r="AM32" s="33" t="s">
        <v>127</v>
      </c>
      <c r="AN32" s="145" t="s">
        <v>128</v>
      </c>
      <c r="AO32" s="146"/>
      <c r="AP32" s="31">
        <v>23</v>
      </c>
      <c r="AQ32" s="31">
        <v>2.57</v>
      </c>
      <c r="AR32" s="31">
        <v>0.15</v>
      </c>
      <c r="AS32" s="31">
        <v>0.15</v>
      </c>
      <c r="AT32" s="31"/>
      <c r="AU32" s="31"/>
      <c r="AV32" s="31"/>
      <c r="AW32" s="31" t="s">
        <v>117</v>
      </c>
      <c r="AX32" s="31">
        <f>AQ32*AR32*AS32</f>
        <v>5.7824999999999988E-2</v>
      </c>
      <c r="AY32" s="33">
        <f>AP32*AX32</f>
        <v>1.3299749999999997</v>
      </c>
    </row>
    <row r="33" spans="1:52" ht="22.5" x14ac:dyDescent="0.25">
      <c r="A33" s="15" t="s">
        <v>6</v>
      </c>
      <c r="D33" s="4">
        <v>350</v>
      </c>
      <c r="E33" s="5" t="s">
        <v>44</v>
      </c>
      <c r="F33" s="70">
        <f>O34</f>
        <v>1.8689999999999998</v>
      </c>
      <c r="K33" s="10" t="s">
        <v>37</v>
      </c>
      <c r="L33" s="8" t="s">
        <v>31</v>
      </c>
      <c r="M33" s="7" t="s">
        <v>38</v>
      </c>
      <c r="N33" s="8" t="s">
        <v>29</v>
      </c>
      <c r="O33" s="8" t="s">
        <v>39</v>
      </c>
      <c r="S33" s="103" t="s">
        <v>27</v>
      </c>
      <c r="T33" s="103"/>
      <c r="U33" s="103"/>
      <c r="V33" s="103"/>
      <c r="AM33" s="33" t="s">
        <v>129</v>
      </c>
      <c r="AN33" s="143" t="s">
        <v>108</v>
      </c>
      <c r="AO33" s="144"/>
      <c r="AP33" s="31">
        <v>4</v>
      </c>
      <c r="AQ33" s="31">
        <v>2.57</v>
      </c>
      <c r="AR33" s="31"/>
      <c r="AS33" s="31"/>
      <c r="AT33" s="31">
        <v>10</v>
      </c>
      <c r="AU33" s="31">
        <v>1.208</v>
      </c>
      <c r="AV33" s="31"/>
      <c r="AW33" s="31" t="s">
        <v>21</v>
      </c>
      <c r="AX33" s="31">
        <f>AQ33*AU33*AP32</f>
        <v>71.404879999999991</v>
      </c>
      <c r="AY33" s="33">
        <f>AP33*AX33</f>
        <v>285.61951999999997</v>
      </c>
    </row>
    <row r="34" spans="1:52" ht="15.75" x14ac:dyDescent="0.25">
      <c r="A34" t="s">
        <v>2</v>
      </c>
      <c r="E34" s="4" t="s">
        <v>21</v>
      </c>
      <c r="F34" s="4">
        <f>F33*D33</f>
        <v>654.14999999999986</v>
      </c>
      <c r="K34" s="104">
        <v>31.15</v>
      </c>
      <c r="L34" s="104">
        <v>0.3</v>
      </c>
      <c r="M34" s="104">
        <v>0.2</v>
      </c>
      <c r="N34" s="104">
        <v>1</v>
      </c>
      <c r="O34" s="106">
        <f>K34*L34*M34*N34</f>
        <v>1.8689999999999998</v>
      </c>
      <c r="AM34" s="33" t="s">
        <v>130</v>
      </c>
      <c r="AN34" s="143" t="s">
        <v>110</v>
      </c>
      <c r="AO34" s="144"/>
      <c r="AP34" s="31">
        <f>ROUND((AQ33/AI35)+1,0)</f>
        <v>18</v>
      </c>
      <c r="AQ34" s="31">
        <f>AQ22</f>
        <v>0.52</v>
      </c>
      <c r="AR34" s="31"/>
      <c r="AS34" s="31"/>
      <c r="AT34" s="31">
        <v>6</v>
      </c>
      <c r="AU34" s="31">
        <v>0.222</v>
      </c>
      <c r="AV34" s="31"/>
      <c r="AW34" s="31" t="s">
        <v>21</v>
      </c>
      <c r="AX34" s="31">
        <f>AQ34*AU34*AP32</f>
        <v>2.6551200000000001</v>
      </c>
      <c r="AY34" s="33">
        <f>AP34*AX34</f>
        <v>47.792160000000003</v>
      </c>
    </row>
    <row r="35" spans="1:52" ht="18.75" x14ac:dyDescent="0.25">
      <c r="A35" t="s">
        <v>3</v>
      </c>
      <c r="E35" s="4" t="s">
        <v>22</v>
      </c>
      <c r="F35" s="4">
        <f>F33*0.4</f>
        <v>0.74759999999999993</v>
      </c>
      <c r="K35" s="105"/>
      <c r="L35" s="105"/>
      <c r="M35" s="105"/>
      <c r="N35" s="105"/>
      <c r="O35" s="107"/>
      <c r="AG35" s="100" t="s">
        <v>298</v>
      </c>
      <c r="AH35" s="100"/>
      <c r="AI35" s="4">
        <v>0.15</v>
      </c>
      <c r="AM35" s="33" t="s">
        <v>131</v>
      </c>
      <c r="AN35" s="143" t="s">
        <v>112</v>
      </c>
      <c r="AO35" s="144"/>
      <c r="AP35" s="58">
        <v>4</v>
      </c>
      <c r="AQ35" s="31"/>
      <c r="AR35" s="31">
        <v>0.15</v>
      </c>
      <c r="AS35" s="31">
        <v>2.57</v>
      </c>
      <c r="AT35" s="31"/>
      <c r="AU35" s="31"/>
      <c r="AV35" s="31"/>
      <c r="AW35" s="31" t="s">
        <v>90</v>
      </c>
      <c r="AX35" s="31">
        <f>AR35*AS35*AP32</f>
        <v>8.8664999999999985</v>
      </c>
      <c r="AY35" s="33">
        <f>AP35*AX35</f>
        <v>35.465999999999994</v>
      </c>
    </row>
    <row r="36" spans="1:52" ht="18.75" x14ac:dyDescent="0.25">
      <c r="A36" t="s">
        <v>4</v>
      </c>
      <c r="E36" s="4" t="s">
        <v>22</v>
      </c>
      <c r="F36" s="4">
        <f>F33*0.8</f>
        <v>1.4951999999999999</v>
      </c>
      <c r="G36" s="109" t="s">
        <v>49</v>
      </c>
      <c r="H36" s="109"/>
      <c r="I36" s="109"/>
      <c r="J36" s="109"/>
      <c r="AJ36" s="59" t="s">
        <v>302</v>
      </c>
      <c r="AK36" s="101" t="s">
        <v>300</v>
      </c>
      <c r="AL36" s="102"/>
      <c r="AM36" s="33" t="s">
        <v>132</v>
      </c>
      <c r="AN36" s="145" t="s">
        <v>133</v>
      </c>
      <c r="AO36" s="146"/>
      <c r="AP36" s="31"/>
      <c r="AQ36" s="31">
        <v>84.9</v>
      </c>
      <c r="AR36" s="31"/>
      <c r="AS36" s="31">
        <v>2.57</v>
      </c>
      <c r="AT36" s="31"/>
      <c r="AU36" s="31"/>
      <c r="AV36" s="55"/>
      <c r="AW36" s="31" t="s">
        <v>90</v>
      </c>
      <c r="AX36" s="58">
        <f>(AQ36*AS36)-(AR35*AP32)</f>
        <v>214.74300000000002</v>
      </c>
      <c r="AY36" s="33">
        <f>AX36</f>
        <v>214.74300000000002</v>
      </c>
    </row>
    <row r="37" spans="1:52" ht="18.75" x14ac:dyDescent="0.25">
      <c r="A37" t="s">
        <v>48</v>
      </c>
      <c r="E37" s="4" t="s">
        <v>24</v>
      </c>
      <c r="F37" s="4">
        <f>ROUNDUP((((K34/0.2)+1)*0.42)/12,0)</f>
        <v>6</v>
      </c>
      <c r="G37" s="1" t="s">
        <v>25</v>
      </c>
      <c r="AM37" s="33" t="s">
        <v>134</v>
      </c>
      <c r="AN37" s="145" t="s">
        <v>135</v>
      </c>
      <c r="AO37" s="146"/>
      <c r="AP37" s="31"/>
      <c r="AQ37" s="37" t="s">
        <v>304</v>
      </c>
      <c r="AR37" s="31"/>
      <c r="AS37" s="31"/>
      <c r="AT37" s="31"/>
      <c r="AU37" s="31"/>
      <c r="AV37" s="31"/>
      <c r="AW37" s="31" t="s">
        <v>117</v>
      </c>
      <c r="AX37" s="31" t="e">
        <f>AQ37*AR37*AS37</f>
        <v>#VALUE!</v>
      </c>
      <c r="AY37" s="33" t="e">
        <f>AX37</f>
        <v>#VALUE!</v>
      </c>
    </row>
    <row r="38" spans="1:52" ht="15.75" x14ac:dyDescent="0.25">
      <c r="A38" t="s">
        <v>47</v>
      </c>
      <c r="E38" s="4" t="s">
        <v>24</v>
      </c>
      <c r="F38" s="4">
        <f>ROUNDUP((K34*4)/12,0)</f>
        <v>11</v>
      </c>
      <c r="G38" s="1" t="s">
        <v>25</v>
      </c>
      <c r="H38" s="136" t="s">
        <v>308</v>
      </c>
      <c r="I38" s="136"/>
      <c r="J38" s="136"/>
      <c r="O38" s="11" t="s">
        <v>41</v>
      </c>
      <c r="P38" s="13">
        <f>ROUNDUP(F34/50,0)</f>
        <v>14</v>
      </c>
      <c r="AM38" s="33" t="s">
        <v>136</v>
      </c>
      <c r="AN38" s="143" t="s">
        <v>119</v>
      </c>
      <c r="AO38" s="144"/>
      <c r="AP38" s="31"/>
      <c r="AQ38" s="37"/>
      <c r="AR38" s="31">
        <v>0.15</v>
      </c>
      <c r="AS38" s="37" t="s">
        <v>303</v>
      </c>
      <c r="AT38" s="31">
        <v>8</v>
      </c>
      <c r="AU38" s="31">
        <v>0.61699999999999999</v>
      </c>
      <c r="AV38" s="31"/>
      <c r="AW38" s="31" t="s">
        <v>21</v>
      </c>
      <c r="AX38" s="31">
        <f>AQ38*AU38</f>
        <v>0</v>
      </c>
      <c r="AY38" s="33">
        <f t="shared" ref="AY38:AY51" si="2">AP38*AX38</f>
        <v>0</v>
      </c>
    </row>
    <row r="39" spans="1:52" ht="15.75" x14ac:dyDescent="0.25">
      <c r="A39" t="s">
        <v>7</v>
      </c>
      <c r="E39" s="4" t="s">
        <v>23</v>
      </c>
      <c r="F39" s="4">
        <f>ROUNDUP((F33*189),0)</f>
        <v>354</v>
      </c>
      <c r="AM39" s="33" t="s">
        <v>137</v>
      </c>
      <c r="AN39" s="143" t="s">
        <v>110</v>
      </c>
      <c r="AO39" s="144"/>
      <c r="AP39" s="31" t="e">
        <f>ROUND((AQ37/AI35)+1,0)</f>
        <v>#VALUE!</v>
      </c>
      <c r="AQ39" s="31">
        <f>AQ34</f>
        <v>0.52</v>
      </c>
      <c r="AR39" s="31"/>
      <c r="AS39" s="31"/>
      <c r="AT39" s="31">
        <v>6</v>
      </c>
      <c r="AU39" s="31">
        <v>0.222</v>
      </c>
      <c r="AV39" s="31"/>
      <c r="AW39" s="31" t="s">
        <v>21</v>
      </c>
      <c r="AX39" s="31">
        <f>AQ39*AU39</f>
        <v>0.11544</v>
      </c>
      <c r="AY39" s="33" t="e">
        <f t="shared" si="2"/>
        <v>#VALUE!</v>
      </c>
    </row>
    <row r="40" spans="1:52" ht="18.75" customHeight="1" x14ac:dyDescent="0.25">
      <c r="A40" s="16" t="s">
        <v>9</v>
      </c>
      <c r="D40" s="4">
        <v>350</v>
      </c>
      <c r="E40" s="5" t="s">
        <v>44</v>
      </c>
      <c r="F40" s="71">
        <f>O41</f>
        <v>0.14174999999999999</v>
      </c>
      <c r="K40" s="10" t="s">
        <v>30</v>
      </c>
      <c r="L40" s="8" t="s">
        <v>31</v>
      </c>
      <c r="M40" s="7" t="s">
        <v>38</v>
      </c>
      <c r="N40" s="8" t="s">
        <v>66</v>
      </c>
      <c r="O40" s="8" t="s">
        <v>39</v>
      </c>
      <c r="AM40" s="33" t="s">
        <v>138</v>
      </c>
      <c r="AN40" s="143" t="s">
        <v>112</v>
      </c>
      <c r="AO40" s="144"/>
      <c r="AP40" s="31">
        <v>2</v>
      </c>
      <c r="AQ40" s="37" t="str">
        <f>AQ37</f>
        <v>nbre O = Ld</v>
      </c>
      <c r="AR40" s="31">
        <v>0.15</v>
      </c>
      <c r="AS40" s="31" t="s">
        <v>303</v>
      </c>
      <c r="AT40" s="31"/>
      <c r="AU40" s="31"/>
      <c r="AV40" s="31"/>
      <c r="AW40" s="31" t="s">
        <v>90</v>
      </c>
      <c r="AX40" s="31" t="e">
        <f>AQ40*AR40</f>
        <v>#VALUE!</v>
      </c>
      <c r="AY40" s="33" t="e">
        <f t="shared" si="2"/>
        <v>#VALUE!</v>
      </c>
    </row>
    <row r="41" spans="1:52" ht="18.75" x14ac:dyDescent="0.25">
      <c r="A41" t="s">
        <v>2</v>
      </c>
      <c r="E41" s="4" t="s">
        <v>21</v>
      </c>
      <c r="F41" s="71">
        <f>F40*D40</f>
        <v>49.612499999999997</v>
      </c>
      <c r="K41" s="118">
        <v>0.15</v>
      </c>
      <c r="L41" s="118">
        <v>0.15</v>
      </c>
      <c r="M41" s="118">
        <v>1.05</v>
      </c>
      <c r="N41" s="118">
        <v>6</v>
      </c>
      <c r="O41" s="126">
        <f>K41*L41*M41*N41</f>
        <v>0.14174999999999999</v>
      </c>
      <c r="AM41" s="33" t="s">
        <v>139</v>
      </c>
      <c r="AN41" s="145" t="s">
        <v>140</v>
      </c>
      <c r="AO41" s="146"/>
      <c r="AP41" s="31"/>
      <c r="AQ41" s="31">
        <f>AQ10</f>
        <v>84.9</v>
      </c>
      <c r="AR41" s="31">
        <v>0.15</v>
      </c>
      <c r="AS41" s="31">
        <v>0.15</v>
      </c>
      <c r="AT41" s="31"/>
      <c r="AU41" s="31"/>
      <c r="AV41" s="31"/>
      <c r="AW41" s="31" t="s">
        <v>117</v>
      </c>
      <c r="AX41" s="31">
        <f>AQ41*AR41*AS41</f>
        <v>1.91025</v>
      </c>
      <c r="AY41" s="33">
        <f>AX41</f>
        <v>1.91025</v>
      </c>
    </row>
    <row r="42" spans="1:52" ht="18" thickBot="1" x14ac:dyDescent="0.3">
      <c r="A42" t="s">
        <v>3</v>
      </c>
      <c r="E42" s="4" t="s">
        <v>22</v>
      </c>
      <c r="F42" s="71">
        <f>F40*0.4</f>
        <v>5.67E-2</v>
      </c>
      <c r="K42" s="119"/>
      <c r="L42" s="119"/>
      <c r="M42" s="119"/>
      <c r="N42" s="119"/>
      <c r="O42" s="127"/>
      <c r="AM42" s="33" t="s">
        <v>141</v>
      </c>
      <c r="AN42" s="143" t="s">
        <v>119</v>
      </c>
      <c r="AO42" s="144"/>
      <c r="AP42" s="31">
        <v>4</v>
      </c>
      <c r="AQ42" s="31">
        <f>AQ10</f>
        <v>84.9</v>
      </c>
      <c r="AR42" s="31"/>
      <c r="AS42" s="31"/>
      <c r="AT42" s="31">
        <v>8</v>
      </c>
      <c r="AU42" s="31">
        <v>0.61699999999999999</v>
      </c>
      <c r="AV42" s="31"/>
      <c r="AW42" s="31" t="s">
        <v>21</v>
      </c>
      <c r="AX42" s="31">
        <f>AQ42*AU42</f>
        <v>52.383300000000006</v>
      </c>
      <c r="AY42" s="33">
        <f t="shared" si="2"/>
        <v>209.53320000000002</v>
      </c>
    </row>
    <row r="43" spans="1:52" ht="16.149999999999999" customHeight="1" thickBot="1" x14ac:dyDescent="0.3">
      <c r="A43" t="s">
        <v>4</v>
      </c>
      <c r="E43" s="4" t="s">
        <v>22</v>
      </c>
      <c r="F43" s="71">
        <f>F40*0.8</f>
        <v>0.1134</v>
      </c>
      <c r="H43" s="122" t="s">
        <v>50</v>
      </c>
      <c r="I43" s="123"/>
      <c r="AM43" s="33" t="s">
        <v>142</v>
      </c>
      <c r="AN43" s="143" t="s">
        <v>110</v>
      </c>
      <c r="AO43" s="144"/>
      <c r="AP43" s="31">
        <f>ROUND((AQ42/AI35)+1,0)</f>
        <v>567</v>
      </c>
      <c r="AQ43" s="31">
        <f>AQ39</f>
        <v>0.52</v>
      </c>
      <c r="AR43" s="31"/>
      <c r="AS43" s="31"/>
      <c r="AT43" s="31">
        <v>6</v>
      </c>
      <c r="AU43" s="31">
        <v>0.222</v>
      </c>
      <c r="AV43" s="31"/>
      <c r="AW43" s="31" t="s">
        <v>21</v>
      </c>
      <c r="AX43" s="31">
        <f>AQ43*AU43</f>
        <v>0.11544</v>
      </c>
      <c r="AY43" s="33">
        <f>AP43*AX43</f>
        <v>65.454480000000004</v>
      </c>
    </row>
    <row r="44" spans="1:52" ht="19.5" thickBot="1" x14ac:dyDescent="0.3">
      <c r="A44" t="s">
        <v>53</v>
      </c>
      <c r="E44" s="4" t="s">
        <v>24</v>
      </c>
      <c r="F44" s="4">
        <f>ROUNDUP(((0.2+0.2+1.05+0.2+0.012*50)*4*6)/12,0)</f>
        <v>5</v>
      </c>
      <c r="H44" s="124"/>
      <c r="I44" s="125"/>
      <c r="J44" s="20"/>
      <c r="O44" s="11" t="s">
        <v>41</v>
      </c>
      <c r="P44" s="13">
        <f>ROUNDUP(F41/50,0)</f>
        <v>1</v>
      </c>
      <c r="Q44" s="116" t="s">
        <v>319</v>
      </c>
      <c r="R44" s="117"/>
      <c r="AM44" s="33" t="s">
        <v>143</v>
      </c>
      <c r="AN44" s="143" t="s">
        <v>112</v>
      </c>
      <c r="AO44" s="144"/>
      <c r="AP44" s="31">
        <v>2</v>
      </c>
      <c r="AQ44" s="31">
        <f>AQ10</f>
        <v>84.9</v>
      </c>
      <c r="AR44" s="31">
        <v>0.15</v>
      </c>
      <c r="AS44" s="31"/>
      <c r="AT44" s="31"/>
      <c r="AU44" s="31">
        <f t="shared" ref="AU44:AU66" si="3">(6.165*10^-3)*AT44^2</f>
        <v>0</v>
      </c>
      <c r="AV44" s="31"/>
      <c r="AW44" s="31" t="s">
        <v>90</v>
      </c>
      <c r="AX44" s="31">
        <f>AQ44*AR44</f>
        <v>12.735000000000001</v>
      </c>
      <c r="AY44" s="33">
        <f t="shared" si="2"/>
        <v>25.470000000000002</v>
      </c>
    </row>
    <row r="45" spans="1:52" ht="15.75" x14ac:dyDescent="0.25">
      <c r="A45" t="s">
        <v>309</v>
      </c>
      <c r="E45" s="4" t="s">
        <v>24</v>
      </c>
      <c r="F45" s="4">
        <f>ROUNDUP((((2*(0.15+0.15)+0.12)*8*6)/12),0)</f>
        <v>3</v>
      </c>
      <c r="H45" s="73" t="s">
        <v>310</v>
      </c>
      <c r="I45" s="74">
        <f>ROUNDUP((100/15)+1,0)</f>
        <v>8</v>
      </c>
      <c r="J45" s="20"/>
      <c r="O45" s="11"/>
      <c r="P45" s="13"/>
      <c r="Q45" s="61"/>
      <c r="R45" s="61"/>
      <c r="AM45" s="33"/>
      <c r="AN45" s="65"/>
      <c r="AO45" s="66"/>
      <c r="AP45" s="31"/>
      <c r="AQ45" s="31"/>
      <c r="AR45" s="31"/>
      <c r="AS45" s="31"/>
      <c r="AT45" s="31"/>
      <c r="AU45" s="31"/>
      <c r="AV45" s="31"/>
      <c r="AW45" s="31"/>
      <c r="AX45" s="31"/>
      <c r="AY45" s="33"/>
    </row>
    <row r="46" spans="1:52" ht="22.5" x14ac:dyDescent="0.25">
      <c r="A46" t="s">
        <v>7</v>
      </c>
      <c r="E46" s="4" t="s">
        <v>23</v>
      </c>
      <c r="F46" s="4">
        <f>ROUNDUP(F40*189,0)</f>
        <v>27</v>
      </c>
      <c r="H46" s="72"/>
      <c r="I46" s="72"/>
      <c r="K46" s="10" t="s">
        <v>30</v>
      </c>
      <c r="L46" s="7" t="s">
        <v>38</v>
      </c>
      <c r="M46" s="7" t="s">
        <v>45</v>
      </c>
      <c r="N46" s="7" t="s">
        <v>46</v>
      </c>
      <c r="O46" s="18"/>
      <c r="Q46" s="10" t="s">
        <v>37</v>
      </c>
      <c r="R46" s="7" t="s">
        <v>38</v>
      </c>
      <c r="AM46" s="33" t="s">
        <v>144</v>
      </c>
      <c r="AN46" s="147" t="s">
        <v>145</v>
      </c>
      <c r="AO46" s="148"/>
      <c r="AP46" s="31"/>
      <c r="AQ46" s="31">
        <v>18.8</v>
      </c>
      <c r="AR46" s="31">
        <v>15.45</v>
      </c>
      <c r="AS46" s="31">
        <v>0.15</v>
      </c>
      <c r="AT46" s="31"/>
      <c r="AU46" s="31">
        <f t="shared" si="3"/>
        <v>0</v>
      </c>
      <c r="AV46" s="31"/>
      <c r="AW46" s="31" t="s">
        <v>117</v>
      </c>
      <c r="AX46" s="31">
        <f>AQ46*AR46*AS46</f>
        <v>43.568999999999996</v>
      </c>
      <c r="AY46" s="33">
        <f>AX46</f>
        <v>43.568999999999996</v>
      </c>
    </row>
    <row r="47" spans="1:52" ht="15.75" x14ac:dyDescent="0.25">
      <c r="A47" s="77" t="s">
        <v>318</v>
      </c>
      <c r="E47" s="4" t="s">
        <v>26</v>
      </c>
      <c r="F47" s="4">
        <f>ROUNDUP((Q47*R47)/((0.2+0.015)*(0.4+0.015))*1.1,0)</f>
        <v>404</v>
      </c>
      <c r="G47" s="89" t="s">
        <v>312</v>
      </c>
      <c r="H47" s="89"/>
      <c r="I47" s="89"/>
      <c r="J47" s="90"/>
      <c r="K47" s="118">
        <v>0.4</v>
      </c>
      <c r="L47" s="120">
        <v>0.2</v>
      </c>
      <c r="M47" s="120">
        <f>K47*L47</f>
        <v>8.0000000000000016E-2</v>
      </c>
      <c r="N47" s="120">
        <f>Q47*R47</f>
        <v>32.707500000000003</v>
      </c>
      <c r="O47" s="19"/>
      <c r="Q47" s="112">
        <v>31.15</v>
      </c>
      <c r="R47" s="114">
        <v>1.05</v>
      </c>
      <c r="AM47" s="33" t="s">
        <v>146</v>
      </c>
      <c r="AN47" s="149" t="s">
        <v>52</v>
      </c>
      <c r="AO47" s="150"/>
      <c r="AP47" s="31"/>
      <c r="AQ47" s="31"/>
      <c r="AR47" s="31"/>
      <c r="AS47" s="31"/>
      <c r="AT47" s="31">
        <v>10</v>
      </c>
      <c r="AU47" s="31">
        <f t="shared" si="3"/>
        <v>0.61650000000000005</v>
      </c>
      <c r="AV47" s="31"/>
      <c r="AW47" s="31" t="s">
        <v>21</v>
      </c>
      <c r="AX47" s="31">
        <f>60*AX46</f>
        <v>2614.14</v>
      </c>
      <c r="AY47" s="31">
        <f>AX47</f>
        <v>2614.14</v>
      </c>
    </row>
    <row r="48" spans="1:52" ht="17.25" x14ac:dyDescent="0.25">
      <c r="A48" s="80" t="s">
        <v>13</v>
      </c>
      <c r="D48" s="4">
        <v>350</v>
      </c>
      <c r="E48" s="5" t="s">
        <v>44</v>
      </c>
      <c r="F48" s="71">
        <f>O52</f>
        <v>0.703125</v>
      </c>
      <c r="G48" s="134" t="s">
        <v>313</v>
      </c>
      <c r="H48" s="134"/>
      <c r="I48" s="134"/>
      <c r="J48" s="135"/>
      <c r="K48" s="119"/>
      <c r="L48" s="121"/>
      <c r="M48" s="121"/>
      <c r="N48" s="121"/>
      <c r="Q48" s="113"/>
      <c r="R48" s="115"/>
      <c r="AM48" s="33" t="s">
        <v>147</v>
      </c>
      <c r="AN48" s="151" t="s">
        <v>148</v>
      </c>
      <c r="AO48" s="152"/>
      <c r="AP48" s="37"/>
      <c r="AQ48" s="37">
        <v>18.8</v>
      </c>
      <c r="AR48" s="37">
        <v>15.45</v>
      </c>
      <c r="AS48" s="37"/>
      <c r="AT48" s="37"/>
      <c r="AU48" s="37"/>
      <c r="AV48" s="37"/>
      <c r="AW48" s="37"/>
      <c r="AX48" s="37">
        <f>ROUND((AQ48/0.8)*(AR48/0.8),0)</f>
        <v>454</v>
      </c>
      <c r="AY48" s="37">
        <f>AX48</f>
        <v>454</v>
      </c>
      <c r="AZ48" s="60" t="s">
        <v>305</v>
      </c>
    </row>
    <row r="49" spans="1:51" ht="18.75" x14ac:dyDescent="0.25">
      <c r="A49" t="s">
        <v>2</v>
      </c>
      <c r="E49" s="4" t="s">
        <v>21</v>
      </c>
      <c r="F49" s="71">
        <f>D48*F48</f>
        <v>246.09375</v>
      </c>
      <c r="AM49" s="33" t="s">
        <v>149</v>
      </c>
      <c r="AN49" s="145" t="s">
        <v>150</v>
      </c>
      <c r="AO49" s="146"/>
      <c r="AP49" s="31"/>
      <c r="AQ49" s="31"/>
      <c r="AR49" s="31"/>
      <c r="AS49" s="31"/>
      <c r="AT49" s="31"/>
      <c r="AU49" s="31">
        <f t="shared" si="3"/>
        <v>0</v>
      </c>
      <c r="AV49" s="31"/>
      <c r="AW49" s="31" t="s">
        <v>117</v>
      </c>
      <c r="AX49" s="31">
        <f>0.9+0.98+0.96+0.2</f>
        <v>3.04</v>
      </c>
      <c r="AY49" s="33">
        <f>AX49</f>
        <v>3.04</v>
      </c>
    </row>
    <row r="50" spans="1:51" ht="17.25" x14ac:dyDescent="0.25">
      <c r="A50" t="s">
        <v>3</v>
      </c>
      <c r="E50" s="4" t="s">
        <v>22</v>
      </c>
      <c r="F50" s="4">
        <f>F48*0.4</f>
        <v>0.28125</v>
      </c>
      <c r="L50" s="94" t="s">
        <v>321</v>
      </c>
      <c r="M50" s="94"/>
      <c r="N50" s="94"/>
      <c r="AM50" s="33" t="s">
        <v>151</v>
      </c>
      <c r="AN50" s="143" t="s">
        <v>108</v>
      </c>
      <c r="AO50" s="144"/>
      <c r="AP50" s="31">
        <v>16</v>
      </c>
      <c r="AQ50" s="31">
        <v>4.54</v>
      </c>
      <c r="AR50" s="31"/>
      <c r="AS50" s="31"/>
      <c r="AT50" s="31">
        <v>10</v>
      </c>
      <c r="AU50" s="31">
        <f t="shared" si="3"/>
        <v>0.61650000000000005</v>
      </c>
      <c r="AV50" s="31"/>
      <c r="AW50" s="31" t="s">
        <v>21</v>
      </c>
      <c r="AX50" s="31">
        <f>AQ50*AU50</f>
        <v>2.7989100000000002</v>
      </c>
      <c r="AY50" s="33">
        <f t="shared" si="2"/>
        <v>44.782560000000004</v>
      </c>
    </row>
    <row r="51" spans="1:51" ht="22.5" x14ac:dyDescent="0.25">
      <c r="A51" t="s">
        <v>4</v>
      </c>
      <c r="E51" s="4" t="s">
        <v>22</v>
      </c>
      <c r="F51" s="4">
        <f>F48*0.8</f>
        <v>0.5625</v>
      </c>
      <c r="K51" s="10" t="s">
        <v>37</v>
      </c>
      <c r="L51" s="8" t="s">
        <v>31</v>
      </c>
      <c r="M51" s="7" t="s">
        <v>38</v>
      </c>
      <c r="N51" s="8" t="s">
        <v>29</v>
      </c>
      <c r="O51" s="8" t="s">
        <v>39</v>
      </c>
      <c r="AM51" s="33" t="s">
        <v>152</v>
      </c>
      <c r="AN51" s="143" t="s">
        <v>153</v>
      </c>
      <c r="AO51" s="144"/>
      <c r="AP51" s="31">
        <v>19</v>
      </c>
      <c r="AQ51" s="31">
        <v>1.45</v>
      </c>
      <c r="AR51" s="31"/>
      <c r="AS51" s="31"/>
      <c r="AT51" s="31">
        <v>8</v>
      </c>
      <c r="AU51" s="31">
        <f t="shared" si="3"/>
        <v>0.39456000000000002</v>
      </c>
      <c r="AV51" s="31"/>
      <c r="AW51" s="31" t="s">
        <v>21</v>
      </c>
      <c r="AX51" s="31">
        <f>AQ51*AU51</f>
        <v>0.57211200000000006</v>
      </c>
      <c r="AY51" s="33">
        <f t="shared" si="2"/>
        <v>10.870128000000001</v>
      </c>
    </row>
    <row r="52" spans="1:51" ht="15.75" x14ac:dyDescent="0.25">
      <c r="A52" t="s">
        <v>47</v>
      </c>
      <c r="E52" s="4" t="s">
        <v>24</v>
      </c>
      <c r="F52" s="4">
        <f>ROUNDUP((K52*4)/12,0)</f>
        <v>11</v>
      </c>
      <c r="K52" s="95">
        <v>31.25</v>
      </c>
      <c r="L52" s="95">
        <v>0.15</v>
      </c>
      <c r="M52" s="95">
        <v>0.15</v>
      </c>
      <c r="N52" s="95">
        <v>1</v>
      </c>
      <c r="O52" s="96">
        <f>K52*L52*M52*N52</f>
        <v>0.703125</v>
      </c>
      <c r="AM52" s="38" t="s">
        <v>154</v>
      </c>
      <c r="AN52" s="153" t="s">
        <v>155</v>
      </c>
      <c r="AO52" s="154"/>
      <c r="AP52" s="39"/>
      <c r="AQ52" s="39"/>
      <c r="AR52" s="39"/>
      <c r="AS52" s="39"/>
      <c r="AT52" s="39"/>
      <c r="AU52" s="39"/>
      <c r="AV52" s="39"/>
      <c r="AW52" s="39"/>
      <c r="AX52" s="39"/>
      <c r="AY52" s="40"/>
    </row>
    <row r="53" spans="1:51" s="4" customFormat="1" ht="25.15" customHeight="1" x14ac:dyDescent="0.25">
      <c r="A53" s="82" t="s">
        <v>323</v>
      </c>
      <c r="E53" s="4" t="s">
        <v>24</v>
      </c>
      <c r="F53" s="4">
        <f>ROUNDUP((I53*((2*(9+9)+12)*10^(-2))) /12, 0)</f>
        <v>9</v>
      </c>
      <c r="G53" s="97" t="s">
        <v>324</v>
      </c>
      <c r="H53" s="97"/>
      <c r="I53" s="81">
        <f>ROUNDUP(((31.25/0.15)+1), 0)</f>
        <v>210</v>
      </c>
      <c r="K53" s="95"/>
      <c r="L53" s="95"/>
      <c r="M53" s="95"/>
      <c r="N53" s="95"/>
      <c r="O53" s="96"/>
      <c r="AM53" s="39"/>
      <c r="AN53" s="67"/>
      <c r="AO53" s="68"/>
      <c r="AP53" s="39"/>
      <c r="AQ53" s="39"/>
      <c r="AR53" s="39"/>
      <c r="AS53" s="39"/>
      <c r="AT53" s="39"/>
      <c r="AU53" s="39"/>
      <c r="AV53" s="39"/>
      <c r="AW53" s="39"/>
      <c r="AX53" s="39"/>
      <c r="AY53" s="39"/>
    </row>
    <row r="54" spans="1:51" ht="18.75" x14ac:dyDescent="0.25">
      <c r="A54" t="s">
        <v>11</v>
      </c>
      <c r="C54" s="81" t="s">
        <v>325</v>
      </c>
      <c r="E54" s="4" t="s">
        <v>26</v>
      </c>
      <c r="F54" s="4">
        <f>ROUNDUP((2*K52)/5,0)</f>
        <v>13</v>
      </c>
      <c r="K54" s="78"/>
      <c r="L54" s="78"/>
      <c r="M54" s="78"/>
      <c r="N54" s="78"/>
      <c r="O54" s="79"/>
      <c r="AM54" s="31" t="s">
        <v>156</v>
      </c>
      <c r="AN54" s="145" t="s">
        <v>128</v>
      </c>
      <c r="AO54" s="146"/>
      <c r="AP54" s="31">
        <v>45</v>
      </c>
      <c r="AQ54" s="31">
        <v>2.8</v>
      </c>
      <c r="AR54" s="31">
        <v>0.2</v>
      </c>
      <c r="AS54" s="31">
        <v>0.2</v>
      </c>
      <c r="AT54" s="31"/>
      <c r="AU54" s="31"/>
      <c r="AV54" s="31"/>
      <c r="AW54" s="31" t="s">
        <v>117</v>
      </c>
      <c r="AX54" s="31">
        <f>AQ54*AR54*AS54</f>
        <v>0.11199999999999999</v>
      </c>
      <c r="AY54" s="33">
        <f>AP54*AX54</f>
        <v>5.0399999999999991</v>
      </c>
    </row>
    <row r="55" spans="1:51" ht="15.75" x14ac:dyDescent="0.25">
      <c r="A55" t="s">
        <v>7</v>
      </c>
      <c r="E55" s="4" t="s">
        <v>23</v>
      </c>
      <c r="F55" s="4">
        <f>ROUNDUP(189*F48,0)</f>
        <v>133</v>
      </c>
      <c r="O55" s="11" t="s">
        <v>41</v>
      </c>
      <c r="P55" s="12">
        <f>ROUNDUP((F49/50),0)</f>
        <v>5</v>
      </c>
      <c r="AM55" s="31" t="s">
        <v>157</v>
      </c>
      <c r="AN55" s="143" t="s">
        <v>108</v>
      </c>
      <c r="AO55" s="144"/>
      <c r="AP55" s="31">
        <v>45</v>
      </c>
      <c r="AQ55" s="31">
        <v>2.8</v>
      </c>
      <c r="AR55" s="31"/>
      <c r="AS55" s="31"/>
      <c r="AT55" s="31">
        <v>10</v>
      </c>
      <c r="AU55" s="31">
        <f>(6.165*10^-3)*AT55^2</f>
        <v>0.61650000000000005</v>
      </c>
      <c r="AV55" s="31"/>
      <c r="AW55" s="31" t="s">
        <v>21</v>
      </c>
      <c r="AX55" s="31">
        <f>AQ55*AU55</f>
        <v>1.7262</v>
      </c>
      <c r="AY55" s="33">
        <f>AP55*AX55</f>
        <v>77.679000000000002</v>
      </c>
    </row>
    <row r="56" spans="1:51" ht="17.25" x14ac:dyDescent="0.25">
      <c r="A56" s="3" t="s">
        <v>10</v>
      </c>
      <c r="C56" s="81" t="s">
        <v>326</v>
      </c>
      <c r="E56" s="4" t="s">
        <v>22</v>
      </c>
      <c r="L56" s="94" t="s">
        <v>322</v>
      </c>
      <c r="M56" s="94"/>
      <c r="N56" s="94"/>
      <c r="AM56" s="31" t="s">
        <v>158</v>
      </c>
      <c r="AN56" s="143" t="s">
        <v>110</v>
      </c>
      <c r="AO56" s="144"/>
      <c r="AP56" s="31">
        <f>ROUND(AQ55/AV56,0)</f>
        <v>14</v>
      </c>
      <c r="AQ56" s="31">
        <f>AQ42</f>
        <v>84.9</v>
      </c>
      <c r="AR56" s="31"/>
      <c r="AS56" s="31"/>
      <c r="AT56" s="31">
        <v>6</v>
      </c>
      <c r="AU56" s="31">
        <f t="shared" si="3"/>
        <v>0.22194000000000003</v>
      </c>
      <c r="AV56" s="31">
        <v>0.2</v>
      </c>
      <c r="AW56" s="31" t="s">
        <v>21</v>
      </c>
      <c r="AX56" s="31">
        <f>AQ56*AU56*AP55</f>
        <v>847.92177000000015</v>
      </c>
      <c r="AY56" s="33">
        <f>AP56*AX56</f>
        <v>11870.904780000003</v>
      </c>
    </row>
    <row r="57" spans="1:51" ht="24" x14ac:dyDescent="0.25">
      <c r="A57" s="83" t="s">
        <v>63</v>
      </c>
      <c r="D57" s="4">
        <v>350</v>
      </c>
      <c r="E57" s="5" t="s">
        <v>44</v>
      </c>
      <c r="F57" s="5">
        <f>O58</f>
        <v>4.16</v>
      </c>
      <c r="G57" s="109" t="s">
        <v>55</v>
      </c>
      <c r="H57" s="109"/>
      <c r="I57" s="109"/>
      <c r="K57" s="10" t="s">
        <v>58</v>
      </c>
      <c r="L57" s="21" t="s">
        <v>57</v>
      </c>
      <c r="M57" s="7" t="s">
        <v>60</v>
      </c>
      <c r="N57" s="8" t="s">
        <v>56</v>
      </c>
      <c r="O57" s="21" t="s">
        <v>61</v>
      </c>
      <c r="AM57" s="31" t="s">
        <v>159</v>
      </c>
      <c r="AN57" s="143" t="s">
        <v>112</v>
      </c>
      <c r="AO57" s="144"/>
      <c r="AP57" s="31">
        <v>4</v>
      </c>
      <c r="AQ57" s="31"/>
      <c r="AR57" s="31">
        <v>0.2</v>
      </c>
      <c r="AS57" s="31">
        <v>2.8</v>
      </c>
      <c r="AT57" s="31"/>
      <c r="AU57" s="31"/>
      <c r="AV57" s="31"/>
      <c r="AW57" s="31" t="s">
        <v>90</v>
      </c>
      <c r="AX57" s="31">
        <f>AR57*AS57*AP55</f>
        <v>25.199999999999996</v>
      </c>
      <c r="AY57" s="33">
        <f>AP57*AX57</f>
        <v>100.79999999999998</v>
      </c>
    </row>
    <row r="58" spans="1:51" ht="18.75" x14ac:dyDescent="0.25">
      <c r="A58" t="s">
        <v>2</v>
      </c>
      <c r="E58" s="4" t="s">
        <v>21</v>
      </c>
      <c r="F58" s="4">
        <f>D57*F57</f>
        <v>1456</v>
      </c>
      <c r="K58" s="118">
        <v>8</v>
      </c>
      <c r="L58" s="118">
        <v>4</v>
      </c>
      <c r="M58" s="118">
        <v>0.13</v>
      </c>
      <c r="N58" s="118">
        <v>1</v>
      </c>
      <c r="O58" s="118">
        <f>K58*L58*M58*N58</f>
        <v>4.16</v>
      </c>
      <c r="AM58" s="31" t="s">
        <v>160</v>
      </c>
      <c r="AN58" s="145" t="s">
        <v>133</v>
      </c>
      <c r="AO58" s="146"/>
      <c r="AP58" s="31"/>
      <c r="AQ58" s="31">
        <v>175.56</v>
      </c>
      <c r="AR58" s="31"/>
      <c r="AS58" s="31">
        <v>2.8</v>
      </c>
      <c r="AT58" s="31"/>
      <c r="AU58" s="31"/>
      <c r="AV58" s="31"/>
      <c r="AW58" s="31" t="s">
        <v>90</v>
      </c>
      <c r="AX58" s="31">
        <f>AQ58*AS58</f>
        <v>491.56799999999998</v>
      </c>
      <c r="AY58" s="33">
        <f>AX58</f>
        <v>491.56799999999998</v>
      </c>
    </row>
    <row r="59" spans="1:51" ht="18.75" x14ac:dyDescent="0.25">
      <c r="A59" t="s">
        <v>3</v>
      </c>
      <c r="E59" s="4" t="s">
        <v>22</v>
      </c>
      <c r="F59" s="4">
        <f>F57*0.4</f>
        <v>1.6640000000000001</v>
      </c>
      <c r="K59" s="119"/>
      <c r="L59" s="119"/>
      <c r="M59" s="119"/>
      <c r="N59" s="119"/>
      <c r="O59" s="119"/>
      <c r="AM59" s="31" t="s">
        <v>161</v>
      </c>
      <c r="AN59" s="145" t="s">
        <v>135</v>
      </c>
      <c r="AO59" s="146"/>
      <c r="AP59" s="31"/>
      <c r="AQ59" s="31">
        <v>175.56</v>
      </c>
      <c r="AR59" s="31">
        <v>0.2</v>
      </c>
      <c r="AS59" s="31">
        <v>0.2</v>
      </c>
      <c r="AT59" s="31"/>
      <c r="AU59" s="31"/>
      <c r="AV59" s="31"/>
      <c r="AW59" s="31" t="s">
        <v>117</v>
      </c>
      <c r="AX59" s="31">
        <f>AQ59*AR59*AS59</f>
        <v>7.0224000000000011</v>
      </c>
      <c r="AY59" s="33">
        <f>AX59</f>
        <v>7.0224000000000011</v>
      </c>
    </row>
    <row r="60" spans="1:51" ht="17.25" x14ac:dyDescent="0.25">
      <c r="A60" t="s">
        <v>4</v>
      </c>
      <c r="E60" s="4" t="s">
        <v>22</v>
      </c>
      <c r="F60" s="4">
        <f>ROUNDUP(F57*0.8,0)</f>
        <v>4</v>
      </c>
      <c r="AM60" s="31" t="s">
        <v>162</v>
      </c>
      <c r="AN60" s="143" t="s">
        <v>119</v>
      </c>
      <c r="AO60" s="144"/>
      <c r="AP60" s="31">
        <v>4</v>
      </c>
      <c r="AQ60" s="31">
        <v>175.56</v>
      </c>
      <c r="AR60" s="31"/>
      <c r="AS60" s="31"/>
      <c r="AT60" s="31">
        <v>8</v>
      </c>
      <c r="AU60" s="31">
        <f t="shared" si="3"/>
        <v>0.39456000000000002</v>
      </c>
      <c r="AV60" s="31"/>
      <c r="AW60" s="31" t="s">
        <v>21</v>
      </c>
      <c r="AX60" s="31">
        <f>AQ60*AU60</f>
        <v>69.268953600000003</v>
      </c>
      <c r="AY60" s="33">
        <f>AP60*AX60</f>
        <v>277.07581440000001</v>
      </c>
    </row>
    <row r="61" spans="1:51" ht="15" customHeight="1" x14ac:dyDescent="0.25">
      <c r="A61" t="s">
        <v>47</v>
      </c>
      <c r="E61" s="4" t="s">
        <v>24</v>
      </c>
      <c r="F61" s="4">
        <f>ROUNDUP(((((K58/0.15)+1)*8.8)+(((L58/0.15)+1)*4.8))/12,0)</f>
        <v>51</v>
      </c>
      <c r="G61" s="1" t="s">
        <v>25</v>
      </c>
      <c r="H61" s="111" t="s">
        <v>64</v>
      </c>
      <c r="I61" s="111"/>
      <c r="J61" s="111"/>
      <c r="K61" s="111"/>
      <c r="L61" s="111"/>
      <c r="O61" s="11" t="s">
        <v>41</v>
      </c>
      <c r="P61" s="12">
        <f>F58/50</f>
        <v>29.12</v>
      </c>
      <c r="AM61" s="31" t="s">
        <v>163</v>
      </c>
      <c r="AN61" s="143" t="s">
        <v>110</v>
      </c>
      <c r="AO61" s="144"/>
      <c r="AP61" s="31">
        <f>ROUND(AQ60/AV61,0)</f>
        <v>878</v>
      </c>
      <c r="AQ61" s="31">
        <f>AQ56</f>
        <v>84.9</v>
      </c>
      <c r="AR61" s="31"/>
      <c r="AS61" s="31"/>
      <c r="AT61" s="31">
        <v>6</v>
      </c>
      <c r="AU61" s="31">
        <f t="shared" si="3"/>
        <v>0.22194000000000003</v>
      </c>
      <c r="AV61" s="31">
        <v>0.2</v>
      </c>
      <c r="AW61" s="31" t="s">
        <v>21</v>
      </c>
      <c r="AX61" s="31">
        <f>AQ61*AU61</f>
        <v>18.842706000000003</v>
      </c>
      <c r="AY61" s="33">
        <f>AP61*AX61</f>
        <v>16543.895868000003</v>
      </c>
    </row>
    <row r="62" spans="1:51" ht="18.75" x14ac:dyDescent="0.25">
      <c r="A62" t="s">
        <v>7</v>
      </c>
      <c r="E62" s="4" t="s">
        <v>22</v>
      </c>
      <c r="F62" s="4">
        <f>ROUNDUP(F57*189,0)</f>
        <v>787</v>
      </c>
      <c r="G62" s="1"/>
      <c r="H62" s="111"/>
      <c r="I62" s="111"/>
      <c r="J62" s="111"/>
      <c r="K62" s="111"/>
      <c r="L62" s="111"/>
      <c r="O62" s="1"/>
      <c r="P62" s="14"/>
      <c r="AM62" s="31" t="s">
        <v>164</v>
      </c>
      <c r="AN62" s="143" t="s">
        <v>112</v>
      </c>
      <c r="AO62" s="144"/>
      <c r="AP62" s="31">
        <v>2</v>
      </c>
      <c r="AQ62" s="31">
        <v>175.56</v>
      </c>
      <c r="AR62" s="31">
        <v>0.2</v>
      </c>
      <c r="AS62" s="31"/>
      <c r="AT62" s="31"/>
      <c r="AU62" s="31"/>
      <c r="AV62" s="31"/>
      <c r="AW62" s="31" t="s">
        <v>90</v>
      </c>
      <c r="AX62" s="31">
        <f>AQ62*AR62</f>
        <v>35.112000000000002</v>
      </c>
      <c r="AY62" s="33">
        <f>AP62*AX62</f>
        <v>70.224000000000004</v>
      </c>
    </row>
    <row r="63" spans="1:51" ht="18.75" x14ac:dyDescent="0.25">
      <c r="A63" s="84" t="s">
        <v>327</v>
      </c>
      <c r="D63" s="4">
        <v>350</v>
      </c>
      <c r="E63" s="4" t="s">
        <v>20</v>
      </c>
      <c r="AM63" s="31" t="s">
        <v>165</v>
      </c>
      <c r="AN63" s="145" t="s">
        <v>140</v>
      </c>
      <c r="AO63" s="146"/>
      <c r="AP63" s="31"/>
      <c r="AQ63" s="31">
        <v>175.56</v>
      </c>
      <c r="AR63" s="31">
        <v>0.2</v>
      </c>
      <c r="AS63" s="31">
        <v>0.2</v>
      </c>
      <c r="AT63" s="31"/>
      <c r="AU63" s="31"/>
      <c r="AV63" s="31"/>
      <c r="AW63" s="31" t="s">
        <v>117</v>
      </c>
      <c r="AX63" s="31">
        <f>AQ63*AR63*AS63</f>
        <v>7.0224000000000011</v>
      </c>
      <c r="AY63" s="33">
        <f>AX63</f>
        <v>7.0224000000000011</v>
      </c>
    </row>
    <row r="64" spans="1:51" ht="15.75" x14ac:dyDescent="0.25">
      <c r="A64" t="s">
        <v>2</v>
      </c>
      <c r="AM64" s="31" t="s">
        <v>166</v>
      </c>
      <c r="AN64" s="143" t="s">
        <v>119</v>
      </c>
      <c r="AO64" s="144"/>
      <c r="AP64" s="31">
        <v>4</v>
      </c>
      <c r="AQ64" s="31">
        <v>175.56</v>
      </c>
      <c r="AR64" s="31"/>
      <c r="AS64" s="31"/>
      <c r="AT64" s="31">
        <v>8</v>
      </c>
      <c r="AU64" s="31">
        <f t="shared" si="3"/>
        <v>0.39456000000000002</v>
      </c>
      <c r="AV64" s="31"/>
      <c r="AW64" s="31" t="s">
        <v>21</v>
      </c>
      <c r="AX64" s="31">
        <f>AQ64*AU64</f>
        <v>69.268953600000003</v>
      </c>
      <c r="AY64" s="33">
        <f>AP64*AX64</f>
        <v>277.07581440000001</v>
      </c>
    </row>
    <row r="65" spans="1:51" ht="15.75" x14ac:dyDescent="0.25">
      <c r="A65" t="s">
        <v>3</v>
      </c>
      <c r="H65" s="98" t="s">
        <v>65</v>
      </c>
      <c r="I65" s="98"/>
      <c r="J65" s="98"/>
      <c r="K65" s="98"/>
      <c r="L65" s="98"/>
      <c r="AM65" s="31" t="s">
        <v>167</v>
      </c>
      <c r="AN65" s="143" t="s">
        <v>110</v>
      </c>
      <c r="AO65" s="144"/>
      <c r="AP65" s="31">
        <f>ROUND(AQ64/AV65,0)</f>
        <v>878</v>
      </c>
      <c r="AQ65" s="31">
        <f>AQ61</f>
        <v>84.9</v>
      </c>
      <c r="AR65" s="31"/>
      <c r="AS65" s="31"/>
      <c r="AT65" s="31">
        <v>6</v>
      </c>
      <c r="AU65" s="31">
        <f t="shared" si="3"/>
        <v>0.22194000000000003</v>
      </c>
      <c r="AV65" s="31">
        <v>0.2</v>
      </c>
      <c r="AW65" s="31" t="s">
        <v>21</v>
      </c>
      <c r="AX65" s="31">
        <f>AQ65*AU65</f>
        <v>18.842706000000003</v>
      </c>
      <c r="AY65" s="33">
        <f>AP65*AX65</f>
        <v>16543.895868000003</v>
      </c>
    </row>
    <row r="66" spans="1:51" ht="18.75" x14ac:dyDescent="0.25">
      <c r="A66" t="s">
        <v>4</v>
      </c>
      <c r="AM66" s="31" t="s">
        <v>168</v>
      </c>
      <c r="AN66" s="143" t="s">
        <v>112</v>
      </c>
      <c r="AO66" s="144"/>
      <c r="AP66" s="31">
        <v>2</v>
      </c>
      <c r="AQ66" s="31">
        <v>175.56</v>
      </c>
      <c r="AR66" s="31">
        <v>0.2</v>
      </c>
      <c r="AS66" s="31"/>
      <c r="AT66" s="31"/>
      <c r="AU66" s="31">
        <f t="shared" si="3"/>
        <v>0</v>
      </c>
      <c r="AV66" s="31"/>
      <c r="AW66" s="31" t="s">
        <v>90</v>
      </c>
      <c r="AX66" s="31">
        <f>AQ66*AR66</f>
        <v>35.112000000000002</v>
      </c>
      <c r="AY66" s="33">
        <f>AP66*AX66</f>
        <v>70.224000000000004</v>
      </c>
    </row>
    <row r="67" spans="1:51" ht="15.75" x14ac:dyDescent="0.25">
      <c r="A67" t="s">
        <v>47</v>
      </c>
      <c r="AM67" s="36" t="s">
        <v>169</v>
      </c>
      <c r="AN67" s="140" t="s">
        <v>170</v>
      </c>
      <c r="AO67" s="141"/>
      <c r="AP67" s="141"/>
      <c r="AQ67" s="141"/>
      <c r="AR67" s="141"/>
      <c r="AS67" s="141"/>
      <c r="AT67" s="141"/>
      <c r="AU67" s="141"/>
      <c r="AV67" s="141"/>
      <c r="AW67" s="141"/>
      <c r="AX67" s="141"/>
      <c r="AY67" s="142"/>
    </row>
    <row r="68" spans="1:51" ht="15.75" x14ac:dyDescent="0.25">
      <c r="A68" s="82" t="s">
        <v>323</v>
      </c>
      <c r="AM68" s="36"/>
      <c r="AN68" s="62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4"/>
    </row>
    <row r="69" spans="1:51" s="24" customFormat="1" ht="18.75" x14ac:dyDescent="0.25">
      <c r="A69" s="24" t="s">
        <v>7</v>
      </c>
      <c r="C69"/>
      <c r="D69" s="25"/>
      <c r="E69" s="25"/>
      <c r="F69" s="25"/>
      <c r="G69" s="25"/>
      <c r="H69" s="25"/>
      <c r="AM69" s="31" t="s">
        <v>171</v>
      </c>
      <c r="AN69" s="143" t="s">
        <v>172</v>
      </c>
      <c r="AO69" s="144"/>
      <c r="AP69" s="31"/>
      <c r="AQ69" s="31"/>
      <c r="AR69" s="31"/>
      <c r="AS69" s="31"/>
      <c r="AT69" s="31"/>
      <c r="AU69" s="31"/>
      <c r="AV69" s="31"/>
      <c r="AW69" s="31" t="s">
        <v>117</v>
      </c>
      <c r="AX69" s="31">
        <f>0.15*0.03*741+0.08*0.08*163</f>
        <v>4.3776999999999999</v>
      </c>
      <c r="AY69" s="31">
        <f>AX69</f>
        <v>4.3776999999999999</v>
      </c>
    </row>
    <row r="70" spans="1:51" s="24" customFormat="1" ht="18.75" x14ac:dyDescent="0.25">
      <c r="A70" s="26" t="s">
        <v>328</v>
      </c>
      <c r="C70"/>
      <c r="D70" s="25"/>
      <c r="E70" s="25"/>
      <c r="F70" s="25"/>
      <c r="G70" s="25"/>
      <c r="H70" s="25"/>
      <c r="AM70" s="31" t="s">
        <v>173</v>
      </c>
      <c r="AN70" s="143" t="s">
        <v>174</v>
      </c>
      <c r="AO70" s="144"/>
      <c r="AP70" s="31"/>
      <c r="AQ70" s="31"/>
      <c r="AR70" s="31"/>
      <c r="AS70" s="31"/>
      <c r="AT70" s="31"/>
      <c r="AU70" s="31"/>
      <c r="AV70" s="31"/>
      <c r="AW70" s="31" t="s">
        <v>90</v>
      </c>
      <c r="AX70" s="31">
        <v>286</v>
      </c>
      <c r="AY70" s="31">
        <f>AX70</f>
        <v>286</v>
      </c>
    </row>
    <row r="71" spans="1:51" ht="13.9" customHeight="1" x14ac:dyDescent="0.25">
      <c r="A71" t="s">
        <v>12</v>
      </c>
      <c r="C71"/>
      <c r="AM71" s="36" t="s">
        <v>175</v>
      </c>
      <c r="AN71" s="140" t="s">
        <v>176</v>
      </c>
      <c r="AO71" s="141"/>
      <c r="AP71" s="141"/>
      <c r="AQ71" s="141"/>
      <c r="AR71" s="141"/>
      <c r="AS71" s="141"/>
      <c r="AT71" s="141"/>
      <c r="AU71" s="141"/>
      <c r="AV71" s="141"/>
      <c r="AW71" s="141"/>
      <c r="AX71" s="141"/>
      <c r="AY71" s="142"/>
    </row>
    <row r="72" spans="1:51" ht="15.75" x14ac:dyDescent="0.25">
      <c r="A72" s="85" t="s">
        <v>15</v>
      </c>
      <c r="C72"/>
      <c r="AM72" s="41" t="s">
        <v>177</v>
      </c>
      <c r="AN72" s="153" t="s">
        <v>126</v>
      </c>
      <c r="AO72" s="154"/>
      <c r="AP72" s="39"/>
      <c r="AQ72" s="39"/>
      <c r="AR72" s="39"/>
      <c r="AS72" s="39"/>
      <c r="AT72" s="39"/>
      <c r="AU72" s="39"/>
      <c r="AV72" s="39"/>
      <c r="AW72" s="39"/>
      <c r="AX72" s="39"/>
      <c r="AY72" s="39"/>
    </row>
    <row r="73" spans="1:51" ht="15.75" x14ac:dyDescent="0.25">
      <c r="A73" t="s">
        <v>2</v>
      </c>
      <c r="C73" s="82"/>
      <c r="AM73" s="41"/>
      <c r="AN73" s="67"/>
      <c r="AO73" s="68"/>
      <c r="AP73" s="39"/>
      <c r="AQ73" s="39"/>
      <c r="AR73" s="39"/>
      <c r="AS73" s="39"/>
      <c r="AT73" s="39"/>
      <c r="AU73" s="39"/>
      <c r="AV73" s="39"/>
      <c r="AW73" s="39"/>
      <c r="AX73" s="39"/>
      <c r="AY73" s="39"/>
    </row>
    <row r="74" spans="1:51" ht="15.75" x14ac:dyDescent="0.25">
      <c r="A74" t="s">
        <v>3</v>
      </c>
      <c r="C74" s="82"/>
      <c r="AM74" s="41"/>
      <c r="AN74" s="67"/>
      <c r="AO74" s="68"/>
      <c r="AP74" s="39"/>
      <c r="AQ74" s="39"/>
      <c r="AR74" s="39"/>
      <c r="AS74" s="39"/>
      <c r="AT74" s="39"/>
      <c r="AU74" s="39"/>
      <c r="AV74" s="39"/>
      <c r="AW74" s="39"/>
      <c r="AX74" s="39"/>
      <c r="AY74" s="39"/>
    </row>
    <row r="75" spans="1:51" ht="15.75" x14ac:dyDescent="0.25">
      <c r="A75" t="s">
        <v>4</v>
      </c>
      <c r="C75" s="82"/>
      <c r="AM75" s="41"/>
      <c r="AN75" s="67"/>
      <c r="AO75" s="68"/>
      <c r="AP75" s="39"/>
      <c r="AQ75" s="39"/>
      <c r="AR75" s="39"/>
      <c r="AS75" s="39"/>
      <c r="AT75" s="39"/>
      <c r="AU75" s="39"/>
      <c r="AV75" s="39"/>
      <c r="AW75" s="39"/>
      <c r="AX75" s="39"/>
      <c r="AY75" s="39"/>
    </row>
    <row r="76" spans="1:51" ht="15.75" x14ac:dyDescent="0.25">
      <c r="A76" t="s">
        <v>47</v>
      </c>
      <c r="C76" s="82"/>
      <c r="AM76" s="41"/>
      <c r="AN76" s="67"/>
      <c r="AO76" s="68"/>
      <c r="AP76" s="39"/>
      <c r="AQ76" s="39"/>
      <c r="AR76" s="39"/>
      <c r="AS76" s="39"/>
      <c r="AT76" s="39"/>
      <c r="AU76" s="39"/>
      <c r="AV76" s="39"/>
      <c r="AW76" s="39"/>
      <c r="AX76" s="39"/>
      <c r="AY76" s="39"/>
    </row>
    <row r="77" spans="1:51" ht="15.75" x14ac:dyDescent="0.25">
      <c r="A77" s="82" t="s">
        <v>323</v>
      </c>
      <c r="AM77" s="41"/>
      <c r="AN77" s="67"/>
      <c r="AO77" s="68"/>
      <c r="AP77" s="39"/>
      <c r="AQ77" s="39"/>
      <c r="AR77" s="39"/>
      <c r="AS77" s="39"/>
      <c r="AT77" s="39"/>
      <c r="AU77" s="39"/>
      <c r="AV77" s="39"/>
      <c r="AW77" s="39"/>
      <c r="AX77" s="39"/>
      <c r="AY77" s="39"/>
    </row>
    <row r="78" spans="1:51" ht="15.75" x14ac:dyDescent="0.25">
      <c r="A78" s="86" t="s">
        <v>14</v>
      </c>
      <c r="AM78" s="41"/>
      <c r="AN78" s="67"/>
      <c r="AO78" s="68"/>
      <c r="AP78" s="39"/>
      <c r="AQ78" s="39"/>
      <c r="AR78" s="39"/>
      <c r="AS78" s="39"/>
      <c r="AT78" s="39"/>
      <c r="AU78" s="39"/>
      <c r="AV78" s="39"/>
      <c r="AW78" s="39"/>
      <c r="AX78" s="39"/>
      <c r="AY78" s="39"/>
    </row>
    <row r="79" spans="1:51" ht="15.75" x14ac:dyDescent="0.25">
      <c r="A79" t="s">
        <v>2</v>
      </c>
      <c r="AM79" s="42" t="s">
        <v>178</v>
      </c>
      <c r="AN79" s="143" t="s">
        <v>179</v>
      </c>
      <c r="AO79" s="144"/>
      <c r="AP79" s="31"/>
      <c r="AQ79" s="31"/>
      <c r="AR79" s="31"/>
      <c r="AS79" s="31"/>
      <c r="AT79" s="31"/>
      <c r="AU79" s="31"/>
      <c r="AV79" s="31"/>
      <c r="AW79" s="31" t="s">
        <v>26</v>
      </c>
      <c r="AX79" s="31">
        <v>10</v>
      </c>
      <c r="AY79" s="31">
        <f>AX79</f>
        <v>10</v>
      </c>
    </row>
    <row r="80" spans="1:51" ht="15.75" x14ac:dyDescent="0.25">
      <c r="A80" t="s">
        <v>3</v>
      </c>
      <c r="AM80" s="42" t="s">
        <v>180</v>
      </c>
      <c r="AN80" s="143" t="s">
        <v>181</v>
      </c>
      <c r="AO80" s="144"/>
      <c r="AP80" s="31"/>
      <c r="AQ80" s="31"/>
      <c r="AR80" s="31"/>
      <c r="AS80" s="31"/>
      <c r="AT80" s="31"/>
      <c r="AU80" s="31"/>
      <c r="AV80" s="31"/>
      <c r="AW80" s="31" t="s">
        <v>26</v>
      </c>
      <c r="AX80" s="31">
        <v>5</v>
      </c>
      <c r="AY80" s="31">
        <f>AX80</f>
        <v>5</v>
      </c>
    </row>
    <row r="81" spans="1:51" ht="15.75" x14ac:dyDescent="0.25">
      <c r="A81" t="s">
        <v>4</v>
      </c>
      <c r="AM81" s="38" t="s">
        <v>182</v>
      </c>
      <c r="AN81" s="153" t="s">
        <v>155</v>
      </c>
      <c r="AO81" s="154"/>
      <c r="AP81" s="39"/>
      <c r="AQ81" s="39"/>
      <c r="AR81" s="39"/>
      <c r="AS81" s="39"/>
      <c r="AT81" s="39"/>
      <c r="AU81" s="39"/>
      <c r="AV81" s="39"/>
      <c r="AW81" s="39"/>
      <c r="AX81" s="39"/>
      <c r="AY81" s="39"/>
    </row>
    <row r="82" spans="1:51" ht="15.75" x14ac:dyDescent="0.25">
      <c r="A82" t="s">
        <v>47</v>
      </c>
      <c r="AM82" s="33" t="s">
        <v>183</v>
      </c>
      <c r="AN82" s="143" t="s">
        <v>179</v>
      </c>
      <c r="AO82" s="144"/>
      <c r="AP82" s="31"/>
      <c r="AQ82" s="31"/>
      <c r="AR82" s="31"/>
      <c r="AS82" s="31"/>
      <c r="AT82" s="31"/>
      <c r="AU82" s="31"/>
      <c r="AV82" s="31"/>
      <c r="AW82" s="31" t="s">
        <v>26</v>
      </c>
      <c r="AX82" s="31">
        <v>10</v>
      </c>
      <c r="AY82" s="31">
        <f>AX82</f>
        <v>10</v>
      </c>
    </row>
    <row r="83" spans="1:51" ht="15.75" x14ac:dyDescent="0.25">
      <c r="A83" s="82" t="s">
        <v>323</v>
      </c>
      <c r="AM83" s="33" t="s">
        <v>184</v>
      </c>
      <c r="AN83" s="143" t="s">
        <v>181</v>
      </c>
      <c r="AO83" s="144"/>
      <c r="AP83" s="31"/>
      <c r="AQ83" s="31"/>
      <c r="AR83" s="31"/>
      <c r="AS83" s="31"/>
      <c r="AT83" s="31"/>
      <c r="AU83" s="31"/>
      <c r="AV83" s="31"/>
      <c r="AW83" s="31" t="s">
        <v>26</v>
      </c>
      <c r="AX83" s="31">
        <v>5</v>
      </c>
      <c r="AY83" s="31">
        <f>AX83</f>
        <v>5</v>
      </c>
    </row>
    <row r="84" spans="1:51" ht="15.75" x14ac:dyDescent="0.25">
      <c r="AM84" s="36" t="s">
        <v>185</v>
      </c>
      <c r="AN84" s="140" t="s">
        <v>186</v>
      </c>
      <c r="AO84" s="141"/>
      <c r="AP84" s="141"/>
      <c r="AQ84" s="141"/>
      <c r="AR84" s="141"/>
      <c r="AS84" s="141"/>
      <c r="AT84" s="141"/>
      <c r="AU84" s="141"/>
      <c r="AV84" s="141"/>
      <c r="AW84" s="141"/>
      <c r="AX84" s="141"/>
      <c r="AY84" s="142"/>
    </row>
    <row r="85" spans="1:51" ht="15.75" x14ac:dyDescent="0.25">
      <c r="AM85" s="38" t="s">
        <v>187</v>
      </c>
      <c r="AN85" s="153" t="s">
        <v>126</v>
      </c>
      <c r="AO85" s="154"/>
      <c r="AP85" s="39"/>
      <c r="AQ85" s="39"/>
      <c r="AR85" s="39"/>
      <c r="AS85" s="39"/>
      <c r="AT85" s="39"/>
      <c r="AU85" s="39"/>
      <c r="AV85" s="39"/>
      <c r="AW85" s="39"/>
      <c r="AX85" s="39"/>
      <c r="AY85" s="39"/>
    </row>
    <row r="86" spans="1:51" ht="15.75" x14ac:dyDescent="0.25">
      <c r="AM86" s="33" t="s">
        <v>188</v>
      </c>
      <c r="AN86" s="161" t="s">
        <v>189</v>
      </c>
      <c r="AO86" s="162"/>
      <c r="AP86" s="43"/>
      <c r="AQ86" s="31"/>
      <c r="AR86" s="31"/>
      <c r="AS86" s="31"/>
      <c r="AT86" s="31"/>
      <c r="AU86" s="31"/>
      <c r="AV86" s="31"/>
      <c r="AW86" s="31" t="s">
        <v>26</v>
      </c>
      <c r="AX86" s="31">
        <v>2</v>
      </c>
      <c r="AY86" s="31">
        <f>AX86</f>
        <v>2</v>
      </c>
    </row>
    <row r="87" spans="1:51" ht="15.75" x14ac:dyDescent="0.25">
      <c r="AM87" s="33" t="s">
        <v>190</v>
      </c>
      <c r="AN87" s="161" t="s">
        <v>191</v>
      </c>
      <c r="AO87" s="162"/>
      <c r="AP87" s="43"/>
      <c r="AQ87" s="31"/>
      <c r="AR87" s="31"/>
      <c r="AS87" s="31"/>
      <c r="AT87" s="31"/>
      <c r="AU87" s="31"/>
      <c r="AV87" s="31"/>
      <c r="AW87" s="31" t="s">
        <v>26</v>
      </c>
      <c r="AX87" s="31">
        <v>6</v>
      </c>
      <c r="AY87" s="31">
        <f t="shared" ref="AY87:AY92" si="4">AX87</f>
        <v>6</v>
      </c>
    </row>
    <row r="88" spans="1:51" ht="15.75" x14ac:dyDescent="0.25">
      <c r="AM88" s="33" t="s">
        <v>192</v>
      </c>
      <c r="AN88" s="161" t="s">
        <v>193</v>
      </c>
      <c r="AO88" s="162"/>
      <c r="AP88" s="43"/>
      <c r="AQ88" s="31"/>
      <c r="AR88" s="31"/>
      <c r="AS88" s="31"/>
      <c r="AT88" s="31"/>
      <c r="AU88" s="31"/>
      <c r="AV88" s="31"/>
      <c r="AW88" s="31" t="s">
        <v>26</v>
      </c>
      <c r="AX88" s="31">
        <v>5</v>
      </c>
      <c r="AY88" s="31">
        <f t="shared" si="4"/>
        <v>5</v>
      </c>
    </row>
    <row r="89" spans="1:51" ht="15.75" x14ac:dyDescent="0.25">
      <c r="AM89" s="38" t="s">
        <v>194</v>
      </c>
      <c r="AN89" s="153" t="s">
        <v>155</v>
      </c>
      <c r="AO89" s="154"/>
      <c r="AP89" s="39"/>
      <c r="AQ89" s="39"/>
      <c r="AR89" s="39"/>
      <c r="AS89" s="39"/>
      <c r="AT89" s="39"/>
      <c r="AU89" s="39"/>
      <c r="AV89" s="39"/>
      <c r="AW89" s="39"/>
      <c r="AX89" s="39"/>
      <c r="AY89" s="39"/>
    </row>
    <row r="90" spans="1:51" ht="15.75" x14ac:dyDescent="0.25">
      <c r="AM90" s="33" t="s">
        <v>195</v>
      </c>
      <c r="AN90" s="161" t="s">
        <v>189</v>
      </c>
      <c r="AO90" s="162"/>
      <c r="AP90" s="31"/>
      <c r="AQ90" s="31"/>
      <c r="AR90" s="31"/>
      <c r="AS90" s="31"/>
      <c r="AT90" s="31"/>
      <c r="AU90" s="31"/>
      <c r="AV90" s="31"/>
      <c r="AW90" s="31" t="s">
        <v>26</v>
      </c>
      <c r="AX90" s="31">
        <v>2</v>
      </c>
      <c r="AY90" s="31">
        <f t="shared" si="4"/>
        <v>2</v>
      </c>
    </row>
    <row r="91" spans="1:51" ht="15.75" x14ac:dyDescent="0.25">
      <c r="AM91" s="33" t="s">
        <v>196</v>
      </c>
      <c r="AN91" s="161" t="s">
        <v>191</v>
      </c>
      <c r="AO91" s="162"/>
      <c r="AP91" s="31"/>
      <c r="AQ91" s="31"/>
      <c r="AR91" s="31"/>
      <c r="AS91" s="31"/>
      <c r="AT91" s="31"/>
      <c r="AU91" s="31"/>
      <c r="AV91" s="31"/>
      <c r="AW91" s="31" t="s">
        <v>26</v>
      </c>
      <c r="AX91" s="31">
        <v>6</v>
      </c>
      <c r="AY91" s="31">
        <f t="shared" si="4"/>
        <v>6</v>
      </c>
    </row>
    <row r="92" spans="1:51" ht="15.75" x14ac:dyDescent="0.25">
      <c r="AM92" s="33" t="s">
        <v>197</v>
      </c>
      <c r="AN92" s="161" t="s">
        <v>193</v>
      </c>
      <c r="AO92" s="162"/>
      <c r="AP92" s="31"/>
      <c r="AQ92" s="31"/>
      <c r="AR92" s="31"/>
      <c r="AS92" s="31"/>
      <c r="AT92" s="31"/>
      <c r="AU92" s="31"/>
      <c r="AV92" s="31"/>
      <c r="AW92" s="31" t="s">
        <v>26</v>
      </c>
      <c r="AX92" s="31">
        <v>5</v>
      </c>
      <c r="AY92" s="31">
        <f t="shared" si="4"/>
        <v>5</v>
      </c>
    </row>
    <row r="93" spans="1:51" ht="15.75" x14ac:dyDescent="0.25">
      <c r="AM93" s="36" t="s">
        <v>198</v>
      </c>
      <c r="AN93" s="140" t="s">
        <v>199</v>
      </c>
      <c r="AO93" s="141"/>
      <c r="AP93" s="141"/>
      <c r="AQ93" s="141"/>
      <c r="AR93" s="141"/>
      <c r="AS93" s="141"/>
      <c r="AT93" s="141"/>
      <c r="AU93" s="141"/>
      <c r="AV93" s="141"/>
      <c r="AW93" s="141"/>
      <c r="AX93" s="141"/>
      <c r="AY93" s="142"/>
    </row>
    <row r="94" spans="1:51" ht="15.75" x14ac:dyDescent="0.25">
      <c r="AM94" s="41"/>
      <c r="AN94" s="153" t="s">
        <v>200</v>
      </c>
      <c r="AO94" s="154"/>
      <c r="AP94" s="39"/>
      <c r="AQ94" s="39"/>
      <c r="AR94" s="39"/>
      <c r="AS94" s="39"/>
      <c r="AT94" s="39"/>
      <c r="AU94" s="39"/>
      <c r="AV94" s="39"/>
      <c r="AW94" s="39"/>
      <c r="AX94" s="39"/>
      <c r="AY94" s="39"/>
    </row>
    <row r="95" spans="1:51" ht="18.75" x14ac:dyDescent="0.25">
      <c r="AM95" s="31" t="s">
        <v>201</v>
      </c>
      <c r="AN95" s="143" t="s">
        <v>202</v>
      </c>
      <c r="AO95" s="144"/>
      <c r="AP95" s="31">
        <v>2</v>
      </c>
      <c r="AQ95" s="31">
        <v>175.56</v>
      </c>
      <c r="AR95" s="31">
        <v>2.8</v>
      </c>
      <c r="AS95" s="31">
        <v>1.5E-3</v>
      </c>
      <c r="AT95" s="31"/>
      <c r="AU95" s="31"/>
      <c r="AV95" s="31"/>
      <c r="AW95" s="31" t="s">
        <v>117</v>
      </c>
      <c r="AX95" s="31">
        <f>AQ95*AR95*AS95</f>
        <v>0.73735200000000001</v>
      </c>
      <c r="AY95" s="31">
        <f>AP95*AX95</f>
        <v>1.474704</v>
      </c>
    </row>
    <row r="96" spans="1:51" ht="18.75" x14ac:dyDescent="0.25">
      <c r="AM96" s="31" t="s">
        <v>203</v>
      </c>
      <c r="AN96" s="143" t="s">
        <v>204</v>
      </c>
      <c r="AO96" s="144"/>
      <c r="AP96" s="31">
        <v>2</v>
      </c>
      <c r="AQ96" s="31"/>
      <c r="AR96" s="31"/>
      <c r="AS96" s="31"/>
      <c r="AT96" s="31"/>
      <c r="AU96" s="31"/>
      <c r="AV96" s="31"/>
      <c r="AW96" s="31" t="s">
        <v>90</v>
      </c>
      <c r="AX96" s="31">
        <v>74</v>
      </c>
      <c r="AY96" s="31">
        <f>AP96*AX96</f>
        <v>148</v>
      </c>
    </row>
    <row r="97" spans="39:51" ht="15.75" x14ac:dyDescent="0.25">
      <c r="AM97" s="36" t="s">
        <v>205</v>
      </c>
      <c r="AN97" s="140" t="s">
        <v>206</v>
      </c>
      <c r="AO97" s="141"/>
      <c r="AP97" s="141"/>
      <c r="AQ97" s="141"/>
      <c r="AR97" s="141"/>
      <c r="AS97" s="141"/>
      <c r="AT97" s="141"/>
      <c r="AU97" s="141"/>
      <c r="AV97" s="141"/>
      <c r="AW97" s="141"/>
      <c r="AX97" s="141"/>
      <c r="AY97" s="142"/>
    </row>
    <row r="98" spans="39:51" ht="15.75" x14ac:dyDescent="0.25">
      <c r="AM98" s="44"/>
      <c r="AN98" s="153" t="s">
        <v>200</v>
      </c>
      <c r="AO98" s="154"/>
      <c r="AP98" s="39"/>
      <c r="AQ98" s="39"/>
      <c r="AR98" s="39"/>
      <c r="AS98" s="39"/>
      <c r="AT98" s="39"/>
      <c r="AU98" s="39"/>
      <c r="AV98" s="39"/>
      <c r="AW98" s="39"/>
      <c r="AX98" s="39"/>
      <c r="AY98" s="39"/>
    </row>
    <row r="99" spans="39:51" ht="18.75" x14ac:dyDescent="0.25">
      <c r="AM99" s="31" t="s">
        <v>207</v>
      </c>
      <c r="AN99" s="143" t="s">
        <v>208</v>
      </c>
      <c r="AO99" s="144"/>
      <c r="AP99" s="31">
        <v>2</v>
      </c>
      <c r="AQ99" s="31">
        <v>18.8</v>
      </c>
      <c r="AR99" s="31">
        <v>15.45</v>
      </c>
      <c r="AS99" s="31"/>
      <c r="AT99" s="31"/>
      <c r="AU99" s="31"/>
      <c r="AV99" s="31"/>
      <c r="AW99" s="31" t="s">
        <v>90</v>
      </c>
      <c r="AX99" s="31">
        <f>AQ99*AR99</f>
        <v>290.45999999999998</v>
      </c>
      <c r="AY99" s="31">
        <f>AP99*AX99</f>
        <v>580.91999999999996</v>
      </c>
    </row>
    <row r="100" spans="39:51" ht="18.75" x14ac:dyDescent="0.25">
      <c r="AM100" s="31" t="s">
        <v>209</v>
      </c>
      <c r="AN100" s="143" t="s">
        <v>210</v>
      </c>
      <c r="AO100" s="144"/>
      <c r="AP100" s="31">
        <v>2</v>
      </c>
      <c r="AQ100" s="31">
        <v>18.8</v>
      </c>
      <c r="AR100" s="31">
        <v>15.45</v>
      </c>
      <c r="AS100" s="31"/>
      <c r="AT100" s="31"/>
      <c r="AU100" s="31"/>
      <c r="AV100" s="31"/>
      <c r="AW100" s="31" t="s">
        <v>90</v>
      </c>
      <c r="AX100" s="31">
        <f>AQ100*AR100</f>
        <v>290.45999999999998</v>
      </c>
      <c r="AY100" s="31">
        <f>AP100*AX100</f>
        <v>580.91999999999996</v>
      </c>
    </row>
    <row r="101" spans="39:51" ht="18.75" x14ac:dyDescent="0.25">
      <c r="AM101" s="31" t="s">
        <v>211</v>
      </c>
      <c r="AN101" s="143" t="s">
        <v>212</v>
      </c>
      <c r="AO101" s="144"/>
      <c r="AP101" s="31">
        <v>2</v>
      </c>
      <c r="AQ101" s="31">
        <v>175.56</v>
      </c>
      <c r="AR101" s="31"/>
      <c r="AS101" s="31">
        <v>0.1</v>
      </c>
      <c r="AT101" s="31"/>
      <c r="AU101" s="31"/>
      <c r="AV101" s="31"/>
      <c r="AW101" s="31" t="s">
        <v>90</v>
      </c>
      <c r="AX101" s="31">
        <f>AQ101*AS101</f>
        <v>17.556000000000001</v>
      </c>
      <c r="AY101" s="31">
        <f>AP101*AX101</f>
        <v>35.112000000000002</v>
      </c>
    </row>
    <row r="102" spans="39:51" ht="15.75" x14ac:dyDescent="0.25">
      <c r="AM102" s="36" t="s">
        <v>213</v>
      </c>
      <c r="AN102" s="140" t="s">
        <v>214</v>
      </c>
      <c r="AO102" s="141"/>
      <c r="AP102" s="141"/>
      <c r="AQ102" s="141"/>
      <c r="AR102" s="141"/>
      <c r="AS102" s="141"/>
      <c r="AT102" s="141"/>
      <c r="AU102" s="141"/>
      <c r="AV102" s="141"/>
      <c r="AW102" s="141"/>
      <c r="AX102" s="141"/>
      <c r="AY102" s="142"/>
    </row>
    <row r="103" spans="39:51" ht="15.75" x14ac:dyDescent="0.25">
      <c r="AM103" s="44"/>
      <c r="AN103" s="153" t="s">
        <v>200</v>
      </c>
      <c r="AO103" s="154"/>
      <c r="AP103" s="39"/>
      <c r="AQ103" s="39"/>
      <c r="AR103" s="39"/>
      <c r="AS103" s="39"/>
      <c r="AT103" s="39"/>
      <c r="AU103" s="39"/>
      <c r="AV103" s="39"/>
      <c r="AW103" s="39"/>
      <c r="AX103" s="39"/>
      <c r="AY103" s="39"/>
    </row>
    <row r="104" spans="39:51" ht="15.75" x14ac:dyDescent="0.25">
      <c r="AM104" s="31" t="s">
        <v>215</v>
      </c>
      <c r="AN104" s="143" t="s">
        <v>216</v>
      </c>
      <c r="AO104" s="144"/>
      <c r="AP104" s="31">
        <v>2</v>
      </c>
      <c r="AQ104" s="31"/>
      <c r="AR104" s="31"/>
      <c r="AS104" s="31"/>
      <c r="AT104" s="31"/>
      <c r="AU104" s="31"/>
      <c r="AV104" s="31"/>
      <c r="AW104" s="31" t="s">
        <v>26</v>
      </c>
      <c r="AX104" s="45">
        <v>79</v>
      </c>
      <c r="AY104" s="46">
        <f>AP104*AX104</f>
        <v>158</v>
      </c>
    </row>
    <row r="105" spans="39:51" ht="18.75" x14ac:dyDescent="0.25">
      <c r="AM105" s="31" t="s">
        <v>217</v>
      </c>
      <c r="AN105" s="143" t="s">
        <v>218</v>
      </c>
      <c r="AO105" s="144"/>
      <c r="AP105" s="31">
        <v>2</v>
      </c>
      <c r="AQ105" s="31"/>
      <c r="AR105" s="31"/>
      <c r="AS105" s="31"/>
      <c r="AT105" s="31"/>
      <c r="AU105" s="31"/>
      <c r="AV105" s="31"/>
      <c r="AW105" s="31" t="s">
        <v>90</v>
      </c>
      <c r="AX105" s="47">
        <f>0.05*0.08*991</f>
        <v>3.964</v>
      </c>
      <c r="AY105" s="46">
        <f>AP105*AX105</f>
        <v>7.9279999999999999</v>
      </c>
    </row>
    <row r="106" spans="39:51" ht="15.75" x14ac:dyDescent="0.25">
      <c r="AM106" s="36" t="s">
        <v>219</v>
      </c>
      <c r="AN106" s="140" t="s">
        <v>220</v>
      </c>
      <c r="AO106" s="141"/>
      <c r="AP106" s="141"/>
      <c r="AQ106" s="141"/>
      <c r="AR106" s="141"/>
      <c r="AS106" s="141"/>
      <c r="AT106" s="141"/>
      <c r="AU106" s="141"/>
      <c r="AV106" s="141"/>
      <c r="AW106" s="141"/>
      <c r="AX106" s="141"/>
      <c r="AY106" s="142"/>
    </row>
    <row r="107" spans="39:51" ht="15.75" x14ac:dyDescent="0.25">
      <c r="AM107" s="44"/>
      <c r="AN107" s="153" t="s">
        <v>200</v>
      </c>
      <c r="AO107" s="154"/>
      <c r="AP107" s="39"/>
      <c r="AQ107" s="39"/>
      <c r="AR107" s="39"/>
      <c r="AS107" s="39"/>
      <c r="AT107" s="39"/>
      <c r="AU107" s="39"/>
      <c r="AV107" s="39"/>
      <c r="AW107" s="39"/>
      <c r="AX107" s="39"/>
      <c r="AY107" s="39"/>
    </row>
    <row r="108" spans="39:51" ht="18.75" x14ac:dyDescent="0.25">
      <c r="AM108" s="31" t="s">
        <v>221</v>
      </c>
      <c r="AN108" s="176" t="s">
        <v>222</v>
      </c>
      <c r="AO108" s="177"/>
      <c r="AP108" s="48">
        <v>2</v>
      </c>
      <c r="AQ108" s="31">
        <v>175.56</v>
      </c>
      <c r="AR108" s="31"/>
      <c r="AS108" s="31">
        <v>2.8</v>
      </c>
      <c r="AT108" s="31"/>
      <c r="AU108" s="31"/>
      <c r="AV108" s="31"/>
      <c r="AW108" s="31" t="s">
        <v>90</v>
      </c>
      <c r="AX108" s="48">
        <f>AQ108*AS108</f>
        <v>491.56799999999998</v>
      </c>
      <c r="AY108" s="31">
        <f>AP108*AX108</f>
        <v>983.13599999999997</v>
      </c>
    </row>
    <row r="109" spans="39:51" ht="18.75" x14ac:dyDescent="0.25">
      <c r="AM109" s="31" t="s">
        <v>223</v>
      </c>
      <c r="AN109" s="176" t="s">
        <v>224</v>
      </c>
      <c r="AO109" s="177"/>
      <c r="AP109" s="48">
        <v>2</v>
      </c>
      <c r="AQ109" s="31"/>
      <c r="AR109" s="31"/>
      <c r="AS109" s="31"/>
      <c r="AT109" s="31"/>
      <c r="AU109" s="31"/>
      <c r="AV109" s="31"/>
      <c r="AW109" s="31" t="s">
        <v>90</v>
      </c>
      <c r="AX109" s="48">
        <v>65</v>
      </c>
      <c r="AY109" s="31">
        <f>AP109*AX109</f>
        <v>130</v>
      </c>
    </row>
    <row r="110" spans="39:51" ht="18.75" x14ac:dyDescent="0.25">
      <c r="AM110" s="31" t="s">
        <v>225</v>
      </c>
      <c r="AN110" s="176" t="s">
        <v>226</v>
      </c>
      <c r="AO110" s="177"/>
      <c r="AP110" s="48">
        <v>2</v>
      </c>
      <c r="AQ110" s="31">
        <v>175.56</v>
      </c>
      <c r="AR110" s="31"/>
      <c r="AS110" s="31">
        <v>2.8</v>
      </c>
      <c r="AT110" s="31"/>
      <c r="AU110" s="31"/>
      <c r="AV110" s="31"/>
      <c r="AW110" s="31" t="s">
        <v>90</v>
      </c>
      <c r="AX110" s="48">
        <f>AQ110*AS110</f>
        <v>491.56799999999998</v>
      </c>
      <c r="AY110" s="31">
        <f>AP110*AX110</f>
        <v>983.13599999999997</v>
      </c>
    </row>
    <row r="111" spans="39:51" ht="18.75" x14ac:dyDescent="0.25">
      <c r="AM111" s="31" t="s">
        <v>227</v>
      </c>
      <c r="AN111" s="176" t="s">
        <v>228</v>
      </c>
      <c r="AO111" s="177"/>
      <c r="AP111" s="48">
        <v>2</v>
      </c>
      <c r="AQ111" s="31">
        <v>18.8</v>
      </c>
      <c r="AR111" s="31">
        <v>15.45</v>
      </c>
      <c r="AS111" s="31"/>
      <c r="AT111" s="31"/>
      <c r="AU111" s="31"/>
      <c r="AV111" s="31"/>
      <c r="AW111" s="31" t="s">
        <v>90</v>
      </c>
      <c r="AX111" s="48">
        <f>AQ111*AR111</f>
        <v>290.45999999999998</v>
      </c>
      <c r="AY111" s="31">
        <f>AP111*AX111</f>
        <v>580.91999999999996</v>
      </c>
    </row>
    <row r="112" spans="39:51" ht="15.75" x14ac:dyDescent="0.25">
      <c r="AM112" s="36" t="s">
        <v>229</v>
      </c>
      <c r="AN112" s="140" t="s">
        <v>230</v>
      </c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1"/>
      <c r="AY112" s="142"/>
    </row>
    <row r="113" spans="39:51" ht="15.75" x14ac:dyDescent="0.25">
      <c r="AM113" s="44"/>
      <c r="AN113" s="153" t="s">
        <v>200</v>
      </c>
      <c r="AO113" s="154"/>
      <c r="AP113" s="39"/>
      <c r="AQ113" s="39"/>
      <c r="AR113" s="39"/>
      <c r="AS113" s="39"/>
      <c r="AT113" s="39"/>
      <c r="AU113" s="39"/>
      <c r="AV113" s="39"/>
      <c r="AW113" s="39"/>
      <c r="AX113" s="39"/>
      <c r="AY113" s="39"/>
    </row>
    <row r="114" spans="39:51" ht="15.75" x14ac:dyDescent="0.25">
      <c r="AM114" s="31" t="s">
        <v>231</v>
      </c>
      <c r="AN114" s="176" t="s">
        <v>232</v>
      </c>
      <c r="AO114" s="177"/>
      <c r="AP114" s="48">
        <v>2</v>
      </c>
      <c r="AQ114" s="31"/>
      <c r="AR114" s="31"/>
      <c r="AS114" s="31"/>
      <c r="AT114" s="31"/>
      <c r="AU114" s="31"/>
      <c r="AV114" s="31"/>
      <c r="AW114" s="31" t="s">
        <v>26</v>
      </c>
      <c r="AX114" s="31">
        <v>2</v>
      </c>
      <c r="AY114" s="31">
        <f>AP114*AX114</f>
        <v>4</v>
      </c>
    </row>
    <row r="115" spans="39:51" ht="15.75" x14ac:dyDescent="0.25">
      <c r="AM115" s="31" t="s">
        <v>233</v>
      </c>
      <c r="AN115" s="176" t="s">
        <v>234</v>
      </c>
      <c r="AO115" s="177"/>
      <c r="AP115" s="48">
        <v>2</v>
      </c>
      <c r="AQ115" s="31"/>
      <c r="AR115" s="31"/>
      <c r="AS115" s="31"/>
      <c r="AT115" s="31"/>
      <c r="AU115" s="31"/>
      <c r="AV115" s="31"/>
      <c r="AW115" s="31" t="s">
        <v>26</v>
      </c>
      <c r="AX115" s="31">
        <v>1</v>
      </c>
      <c r="AY115" s="31">
        <f>AP115*AX115</f>
        <v>2</v>
      </c>
    </row>
    <row r="116" spans="39:51" ht="15.75" x14ac:dyDescent="0.25">
      <c r="AM116" s="36" t="s">
        <v>235</v>
      </c>
      <c r="AN116" s="140" t="s">
        <v>236</v>
      </c>
      <c r="AO116" s="141"/>
      <c r="AP116" s="141"/>
      <c r="AQ116" s="141"/>
      <c r="AR116" s="141"/>
      <c r="AS116" s="141"/>
      <c r="AT116" s="141"/>
      <c r="AU116" s="141"/>
      <c r="AV116" s="141"/>
      <c r="AW116" s="141"/>
      <c r="AX116" s="141"/>
      <c r="AY116" s="142"/>
    </row>
    <row r="117" spans="39:51" ht="15.75" x14ac:dyDescent="0.25">
      <c r="AM117" s="44"/>
      <c r="AN117" s="153" t="s">
        <v>200</v>
      </c>
      <c r="AO117" s="154"/>
      <c r="AP117" s="39"/>
      <c r="AQ117" s="39"/>
      <c r="AR117" s="39"/>
      <c r="AS117" s="39"/>
      <c r="AT117" s="39"/>
      <c r="AU117" s="39"/>
      <c r="AV117" s="39"/>
      <c r="AW117" s="39"/>
      <c r="AX117" s="39"/>
      <c r="AY117" s="39"/>
    </row>
    <row r="118" spans="39:51" ht="15.75" x14ac:dyDescent="0.25">
      <c r="AM118" s="31" t="s">
        <v>237</v>
      </c>
      <c r="AN118" s="157" t="s">
        <v>238</v>
      </c>
      <c r="AO118" s="158"/>
      <c r="AP118" s="31"/>
      <c r="AQ118" s="31"/>
      <c r="AR118" s="31"/>
      <c r="AS118" s="31"/>
      <c r="AT118" s="31"/>
      <c r="AU118" s="31"/>
      <c r="AV118" s="31"/>
      <c r="AW118" s="31"/>
      <c r="AX118" s="31"/>
      <c r="AY118" s="31"/>
    </row>
    <row r="119" spans="39:51" ht="15.75" x14ac:dyDescent="0.25">
      <c r="AM119" s="31"/>
      <c r="AN119" s="157"/>
      <c r="AO119" s="158"/>
      <c r="AP119" s="31"/>
      <c r="AQ119" s="31"/>
      <c r="AR119" s="31"/>
      <c r="AS119" s="31"/>
      <c r="AT119" s="31"/>
      <c r="AU119" s="31"/>
      <c r="AV119" s="31"/>
      <c r="AW119" s="31"/>
      <c r="AX119" s="31"/>
      <c r="AY119" s="31"/>
    </row>
    <row r="120" spans="39:51" ht="15.75" x14ac:dyDescent="0.25">
      <c r="AM120" s="31"/>
      <c r="AN120" s="157"/>
      <c r="AO120" s="158"/>
      <c r="AP120" s="31"/>
      <c r="AQ120" s="31"/>
      <c r="AR120" s="31"/>
      <c r="AS120" s="31"/>
      <c r="AT120" s="31"/>
      <c r="AU120" s="31"/>
      <c r="AV120" s="31"/>
      <c r="AW120" s="31"/>
      <c r="AX120" s="31"/>
      <c r="AY120" s="31"/>
    </row>
    <row r="121" spans="39:51" ht="15.75" x14ac:dyDescent="0.25">
      <c r="AM121" s="36" t="s">
        <v>239</v>
      </c>
      <c r="AN121" s="140" t="s">
        <v>240</v>
      </c>
      <c r="AO121" s="141"/>
      <c r="AP121" s="141"/>
      <c r="AQ121" s="141"/>
      <c r="AR121" s="141"/>
      <c r="AS121" s="141"/>
      <c r="AT121" s="141"/>
      <c r="AU121" s="141"/>
      <c r="AV121" s="141"/>
      <c r="AW121" s="141"/>
      <c r="AX121" s="141"/>
      <c r="AY121" s="142"/>
    </row>
    <row r="122" spans="39:51" ht="15.75" x14ac:dyDescent="0.25">
      <c r="AM122" s="44"/>
      <c r="AN122" s="153" t="s">
        <v>200</v>
      </c>
      <c r="AO122" s="154"/>
      <c r="AP122" s="39"/>
      <c r="AQ122" s="39"/>
      <c r="AR122" s="39"/>
      <c r="AS122" s="39"/>
      <c r="AT122" s="39"/>
      <c r="AU122" s="39"/>
      <c r="AV122" s="39"/>
      <c r="AW122" s="39"/>
      <c r="AX122" s="39"/>
      <c r="AY122" s="39"/>
    </row>
    <row r="123" spans="39:51" ht="15.75" x14ac:dyDescent="0.25">
      <c r="AM123" s="31" t="s">
        <v>241</v>
      </c>
      <c r="AN123" s="155" t="s">
        <v>242</v>
      </c>
      <c r="AO123" s="156"/>
      <c r="AP123" s="49">
        <v>2</v>
      </c>
      <c r="AQ123" s="50"/>
      <c r="AR123" s="31"/>
      <c r="AS123" s="31"/>
      <c r="AT123" s="31"/>
      <c r="AU123" s="31"/>
      <c r="AV123" s="31"/>
      <c r="AW123" s="48" t="s">
        <v>26</v>
      </c>
      <c r="AX123" s="50">
        <v>3</v>
      </c>
      <c r="AY123" s="31">
        <f>AP123*AX123</f>
        <v>6</v>
      </c>
    </row>
    <row r="124" spans="39:51" ht="15.75" x14ac:dyDescent="0.25">
      <c r="AM124" s="31" t="s">
        <v>243</v>
      </c>
      <c r="AN124" s="155" t="s">
        <v>244</v>
      </c>
      <c r="AO124" s="156"/>
      <c r="AP124" s="49">
        <v>2</v>
      </c>
      <c r="AQ124" s="50"/>
      <c r="AR124" s="31"/>
      <c r="AS124" s="31"/>
      <c r="AT124" s="31"/>
      <c r="AU124" s="31"/>
      <c r="AV124" s="31"/>
      <c r="AW124" s="48" t="s">
        <v>26</v>
      </c>
      <c r="AX124" s="50">
        <v>7</v>
      </c>
      <c r="AY124" s="31">
        <f t="shared" ref="AY124:AY147" si="5">AP124*AX124</f>
        <v>14</v>
      </c>
    </row>
    <row r="125" spans="39:51" ht="15.75" x14ac:dyDescent="0.25">
      <c r="AM125" s="31" t="s">
        <v>245</v>
      </c>
      <c r="AN125" s="155" t="s">
        <v>246</v>
      </c>
      <c r="AO125" s="156"/>
      <c r="AP125" s="49">
        <v>2</v>
      </c>
      <c r="AQ125" s="50"/>
      <c r="AR125" s="31"/>
      <c r="AS125" s="31"/>
      <c r="AT125" s="31"/>
      <c r="AU125" s="31"/>
      <c r="AV125" s="31"/>
      <c r="AW125" s="48" t="s">
        <v>26</v>
      </c>
      <c r="AX125" s="50">
        <v>6</v>
      </c>
      <c r="AY125" s="31">
        <f t="shared" si="5"/>
        <v>12</v>
      </c>
    </row>
    <row r="126" spans="39:51" ht="15.75" x14ac:dyDescent="0.25">
      <c r="AM126" s="31" t="s">
        <v>247</v>
      </c>
      <c r="AN126" s="155" t="s">
        <v>248</v>
      </c>
      <c r="AO126" s="156"/>
      <c r="AP126" s="49">
        <v>2</v>
      </c>
      <c r="AQ126" s="50"/>
      <c r="AR126" s="31"/>
      <c r="AS126" s="31"/>
      <c r="AT126" s="31"/>
      <c r="AU126" s="31"/>
      <c r="AV126" s="31"/>
      <c r="AW126" s="48" t="s">
        <v>26</v>
      </c>
      <c r="AX126" s="50">
        <v>6</v>
      </c>
      <c r="AY126" s="31">
        <f t="shared" si="5"/>
        <v>12</v>
      </c>
    </row>
    <row r="127" spans="39:51" ht="15.75" x14ac:dyDescent="0.25">
      <c r="AM127" s="31" t="s">
        <v>249</v>
      </c>
      <c r="AN127" s="155" t="s">
        <v>250</v>
      </c>
      <c r="AO127" s="156"/>
      <c r="AP127" s="49">
        <v>2</v>
      </c>
      <c r="AQ127" s="50"/>
      <c r="AR127" s="31"/>
      <c r="AS127" s="31"/>
      <c r="AT127" s="31"/>
      <c r="AU127" s="31"/>
      <c r="AV127" s="31"/>
      <c r="AW127" s="48" t="s">
        <v>26</v>
      </c>
      <c r="AX127" s="50">
        <v>8</v>
      </c>
      <c r="AY127" s="31">
        <f t="shared" si="5"/>
        <v>16</v>
      </c>
    </row>
    <row r="128" spans="39:51" ht="15.75" x14ac:dyDescent="0.25">
      <c r="AM128" s="31" t="s">
        <v>251</v>
      </c>
      <c r="AN128" s="159" t="s">
        <v>252</v>
      </c>
      <c r="AO128" s="160"/>
      <c r="AP128" s="51">
        <v>1</v>
      </c>
      <c r="AQ128" s="50"/>
      <c r="AR128" s="31"/>
      <c r="AS128" s="31"/>
      <c r="AT128" s="31"/>
      <c r="AU128" s="31"/>
      <c r="AV128" s="31"/>
      <c r="AW128" s="48" t="s">
        <v>26</v>
      </c>
      <c r="AX128" s="50">
        <v>6</v>
      </c>
      <c r="AY128" s="31">
        <f t="shared" si="5"/>
        <v>6</v>
      </c>
    </row>
    <row r="129" spans="39:51" ht="18.75" x14ac:dyDescent="0.25">
      <c r="AM129" s="31" t="s">
        <v>253</v>
      </c>
      <c r="AN129" s="155" t="s">
        <v>254</v>
      </c>
      <c r="AO129" s="156"/>
      <c r="AP129" s="49">
        <v>1</v>
      </c>
      <c r="AQ129" s="50"/>
      <c r="AR129" s="31"/>
      <c r="AS129" s="31"/>
      <c r="AT129" s="31"/>
      <c r="AU129" s="31"/>
      <c r="AV129" s="31"/>
      <c r="AW129" s="31" t="s">
        <v>117</v>
      </c>
      <c r="AX129" s="50">
        <v>7</v>
      </c>
      <c r="AY129" s="31">
        <f t="shared" si="5"/>
        <v>7</v>
      </c>
    </row>
    <row r="130" spans="39:51" ht="18.75" x14ac:dyDescent="0.25">
      <c r="AM130" s="31" t="s">
        <v>255</v>
      </c>
      <c r="AN130" s="155" t="s">
        <v>256</v>
      </c>
      <c r="AO130" s="156"/>
      <c r="AP130" s="49">
        <v>1</v>
      </c>
      <c r="AQ130" s="50"/>
      <c r="AR130" s="31"/>
      <c r="AS130" s="31"/>
      <c r="AT130" s="31"/>
      <c r="AU130" s="31"/>
      <c r="AV130" s="31"/>
      <c r="AW130" s="31" t="s">
        <v>90</v>
      </c>
      <c r="AX130" s="50">
        <v>10</v>
      </c>
      <c r="AY130" s="31">
        <f t="shared" si="5"/>
        <v>10</v>
      </c>
    </row>
    <row r="131" spans="39:51" ht="15.75" x14ac:dyDescent="0.25">
      <c r="AM131" s="31" t="s">
        <v>257</v>
      </c>
      <c r="AN131" s="155" t="s">
        <v>258</v>
      </c>
      <c r="AO131" s="156"/>
      <c r="AP131" s="49">
        <v>1</v>
      </c>
      <c r="AQ131" s="50"/>
      <c r="AR131" s="31"/>
      <c r="AS131" s="31"/>
      <c r="AT131" s="31"/>
      <c r="AU131" s="31"/>
      <c r="AV131" s="31"/>
      <c r="AW131" s="48" t="s">
        <v>26</v>
      </c>
      <c r="AX131" s="50">
        <v>133</v>
      </c>
      <c r="AY131" s="31">
        <f t="shared" si="5"/>
        <v>133</v>
      </c>
    </row>
    <row r="132" spans="39:51" ht="15.75" x14ac:dyDescent="0.25">
      <c r="AM132" s="31" t="s">
        <v>259</v>
      </c>
      <c r="AN132" s="155" t="s">
        <v>3</v>
      </c>
      <c r="AO132" s="156"/>
      <c r="AP132" s="49">
        <v>1</v>
      </c>
      <c r="AQ132" s="50"/>
      <c r="AR132" s="31"/>
      <c r="AS132" s="31"/>
      <c r="AT132" s="31"/>
      <c r="AU132" s="31"/>
      <c r="AV132" s="31"/>
      <c r="AW132" s="48" t="s">
        <v>260</v>
      </c>
      <c r="AX132" s="50">
        <v>7</v>
      </c>
      <c r="AY132" s="31">
        <f t="shared" si="5"/>
        <v>7</v>
      </c>
    </row>
    <row r="133" spans="39:51" ht="15.75" x14ac:dyDescent="0.25">
      <c r="AM133" s="31" t="s">
        <v>261</v>
      </c>
      <c r="AN133" s="155" t="s">
        <v>2</v>
      </c>
      <c r="AO133" s="156"/>
      <c r="AP133" s="49">
        <v>1</v>
      </c>
      <c r="AQ133" s="50"/>
      <c r="AR133" s="31"/>
      <c r="AS133" s="31"/>
      <c r="AT133" s="31"/>
      <c r="AU133" s="31"/>
      <c r="AV133" s="31"/>
      <c r="AW133" s="48" t="s">
        <v>26</v>
      </c>
      <c r="AX133" s="50">
        <v>75</v>
      </c>
      <c r="AY133" s="31">
        <f t="shared" si="5"/>
        <v>75</v>
      </c>
    </row>
    <row r="134" spans="39:51" ht="16.5" x14ac:dyDescent="0.25">
      <c r="AM134" s="31" t="s">
        <v>262</v>
      </c>
      <c r="AN134" s="159" t="s">
        <v>263</v>
      </c>
      <c r="AO134" s="160"/>
      <c r="AP134" s="51"/>
      <c r="AQ134" s="50"/>
      <c r="AR134" s="31"/>
      <c r="AS134" s="31"/>
      <c r="AT134" s="31"/>
      <c r="AU134" s="31"/>
      <c r="AV134" s="31"/>
      <c r="AW134" s="48" t="s">
        <v>264</v>
      </c>
      <c r="AX134" s="50"/>
      <c r="AY134" s="31"/>
    </row>
    <row r="135" spans="39:51" ht="15.75" x14ac:dyDescent="0.25">
      <c r="AM135" s="31" t="s">
        <v>265</v>
      </c>
      <c r="AN135" s="155" t="s">
        <v>2</v>
      </c>
      <c r="AO135" s="156"/>
      <c r="AP135" s="49">
        <v>1</v>
      </c>
      <c r="AQ135" s="50"/>
      <c r="AR135" s="31"/>
      <c r="AS135" s="31"/>
      <c r="AT135" s="31"/>
      <c r="AU135" s="31"/>
      <c r="AV135" s="31"/>
      <c r="AW135" s="48" t="s">
        <v>26</v>
      </c>
      <c r="AX135" s="50">
        <v>3</v>
      </c>
      <c r="AY135" s="31">
        <f t="shared" si="5"/>
        <v>3</v>
      </c>
    </row>
    <row r="136" spans="39:51" ht="15.75" x14ac:dyDescent="0.25">
      <c r="AM136" s="31" t="s">
        <v>266</v>
      </c>
      <c r="AN136" s="155" t="s">
        <v>4</v>
      </c>
      <c r="AO136" s="156"/>
      <c r="AP136" s="49">
        <v>1</v>
      </c>
      <c r="AQ136" s="50"/>
      <c r="AR136" s="31"/>
      <c r="AS136" s="31"/>
      <c r="AT136" s="31"/>
      <c r="AU136" s="31"/>
      <c r="AV136" s="31"/>
      <c r="AW136" s="48" t="s">
        <v>260</v>
      </c>
      <c r="AX136" s="50">
        <v>0</v>
      </c>
      <c r="AY136" s="31">
        <f t="shared" si="5"/>
        <v>0</v>
      </c>
    </row>
    <row r="137" spans="39:51" ht="15.75" x14ac:dyDescent="0.25">
      <c r="AM137" s="31" t="s">
        <v>267</v>
      </c>
      <c r="AN137" s="155" t="s">
        <v>268</v>
      </c>
      <c r="AO137" s="156"/>
      <c r="AP137" s="49">
        <v>1</v>
      </c>
      <c r="AQ137" s="50"/>
      <c r="AR137" s="31"/>
      <c r="AS137" s="31"/>
      <c r="AT137" s="31"/>
      <c r="AU137" s="31"/>
      <c r="AV137" s="31"/>
      <c r="AW137" s="48" t="s">
        <v>269</v>
      </c>
      <c r="AX137" s="50">
        <v>28</v>
      </c>
      <c r="AY137" s="31">
        <f t="shared" si="5"/>
        <v>28</v>
      </c>
    </row>
    <row r="138" spans="39:51" ht="15.75" x14ac:dyDescent="0.25">
      <c r="AM138" s="31" t="s">
        <v>270</v>
      </c>
      <c r="AN138" s="155" t="s">
        <v>3</v>
      </c>
      <c r="AO138" s="156"/>
      <c r="AP138" s="49">
        <v>1</v>
      </c>
      <c r="AQ138" s="50"/>
      <c r="AR138" s="31"/>
      <c r="AS138" s="31"/>
      <c r="AT138" s="31"/>
      <c r="AU138" s="31"/>
      <c r="AV138" s="31"/>
      <c r="AW138" s="48" t="s">
        <v>260</v>
      </c>
      <c r="AX138" s="50">
        <v>0</v>
      </c>
      <c r="AY138" s="31">
        <f t="shared" si="5"/>
        <v>0</v>
      </c>
    </row>
    <row r="139" spans="39:51" ht="18.75" x14ac:dyDescent="0.25">
      <c r="AM139" s="31" t="s">
        <v>271</v>
      </c>
      <c r="AN139" s="155" t="s">
        <v>272</v>
      </c>
      <c r="AO139" s="156"/>
      <c r="AP139" s="49">
        <v>1</v>
      </c>
      <c r="AQ139" s="50"/>
      <c r="AR139" s="31"/>
      <c r="AS139" s="31"/>
      <c r="AT139" s="31"/>
      <c r="AU139" s="31"/>
      <c r="AV139" s="31"/>
      <c r="AW139" s="31" t="s">
        <v>90</v>
      </c>
      <c r="AX139" s="50">
        <v>3</v>
      </c>
      <c r="AY139" s="31">
        <f t="shared" si="5"/>
        <v>3</v>
      </c>
    </row>
    <row r="140" spans="39:51" ht="15.75" x14ac:dyDescent="0.25">
      <c r="AM140" s="31" t="s">
        <v>273</v>
      </c>
      <c r="AN140" s="161" t="s">
        <v>274</v>
      </c>
      <c r="AO140" s="162"/>
      <c r="AP140" s="43">
        <v>1</v>
      </c>
      <c r="AQ140" s="45"/>
      <c r="AR140" s="31"/>
      <c r="AS140" s="31"/>
      <c r="AT140" s="31"/>
      <c r="AU140" s="31"/>
      <c r="AV140" s="31"/>
      <c r="AW140" s="52" t="s">
        <v>269</v>
      </c>
      <c r="AX140" s="45">
        <v>10</v>
      </c>
      <c r="AY140" s="31">
        <f t="shared" si="5"/>
        <v>10</v>
      </c>
    </row>
    <row r="141" spans="39:51" ht="15.75" x14ac:dyDescent="0.25">
      <c r="AM141" s="31" t="s">
        <v>275</v>
      </c>
      <c r="AN141" s="161" t="s">
        <v>276</v>
      </c>
      <c r="AO141" s="162"/>
      <c r="AP141" s="43">
        <v>1</v>
      </c>
      <c r="AQ141" s="45"/>
      <c r="AR141" s="31"/>
      <c r="AS141" s="31"/>
      <c r="AT141" s="31"/>
      <c r="AU141" s="31"/>
      <c r="AV141" s="31"/>
      <c r="AW141" s="52" t="s">
        <v>26</v>
      </c>
      <c r="AX141" s="45">
        <v>2</v>
      </c>
      <c r="AY141" s="31">
        <f t="shared" si="5"/>
        <v>2</v>
      </c>
    </row>
    <row r="142" spans="39:51" ht="15.75" x14ac:dyDescent="0.25">
      <c r="AM142" s="31" t="s">
        <v>277</v>
      </c>
      <c r="AN142" s="163" t="s">
        <v>278</v>
      </c>
      <c r="AO142" s="164"/>
      <c r="AP142" s="53"/>
      <c r="AQ142" s="45"/>
      <c r="AR142" s="31"/>
      <c r="AS142" s="31"/>
      <c r="AT142" s="31"/>
      <c r="AU142" s="31"/>
      <c r="AV142" s="31"/>
      <c r="AW142" s="52"/>
      <c r="AX142" s="45"/>
      <c r="AY142" s="31"/>
    </row>
    <row r="143" spans="39:51" ht="15.75" x14ac:dyDescent="0.25">
      <c r="AM143" s="31" t="s">
        <v>279</v>
      </c>
      <c r="AN143" s="161" t="s">
        <v>280</v>
      </c>
      <c r="AO143" s="162"/>
      <c r="AP143" s="43">
        <v>1</v>
      </c>
      <c r="AQ143" s="45"/>
      <c r="AR143" s="31"/>
      <c r="AS143" s="31"/>
      <c r="AT143" s="31"/>
      <c r="AU143" s="31"/>
      <c r="AV143" s="31"/>
      <c r="AW143" s="52" t="s">
        <v>26</v>
      </c>
      <c r="AX143" s="45">
        <v>5</v>
      </c>
      <c r="AY143" s="31">
        <f t="shared" si="5"/>
        <v>5</v>
      </c>
    </row>
    <row r="144" spans="39:51" ht="15.75" x14ac:dyDescent="0.25">
      <c r="AM144" s="31" t="s">
        <v>281</v>
      </c>
      <c r="AN144" s="161" t="s">
        <v>282</v>
      </c>
      <c r="AO144" s="162"/>
      <c r="AP144" s="43">
        <v>1</v>
      </c>
      <c r="AQ144" s="45"/>
      <c r="AR144" s="31"/>
      <c r="AS144" s="31"/>
      <c r="AT144" s="31"/>
      <c r="AU144" s="31"/>
      <c r="AV144" s="31"/>
      <c r="AW144" s="52" t="s">
        <v>26</v>
      </c>
      <c r="AX144" s="45">
        <v>1</v>
      </c>
      <c r="AY144" s="31">
        <f t="shared" si="5"/>
        <v>1</v>
      </c>
    </row>
    <row r="145" spans="39:51" ht="15.75" x14ac:dyDescent="0.25">
      <c r="AM145" s="31" t="s">
        <v>283</v>
      </c>
      <c r="AN145" s="161" t="s">
        <v>284</v>
      </c>
      <c r="AO145" s="162"/>
      <c r="AP145" s="43">
        <v>1</v>
      </c>
      <c r="AQ145" s="45"/>
      <c r="AR145" s="31"/>
      <c r="AS145" s="31"/>
      <c r="AT145" s="31"/>
      <c r="AU145" s="31"/>
      <c r="AV145" s="31"/>
      <c r="AW145" s="52" t="s">
        <v>26</v>
      </c>
      <c r="AX145" s="45">
        <v>5</v>
      </c>
      <c r="AY145" s="31">
        <f t="shared" si="5"/>
        <v>5</v>
      </c>
    </row>
    <row r="146" spans="39:51" ht="15.75" x14ac:dyDescent="0.25">
      <c r="AM146" s="31" t="s">
        <v>285</v>
      </c>
      <c r="AN146" s="163" t="s">
        <v>286</v>
      </c>
      <c r="AO146" s="164"/>
      <c r="AP146" s="53">
        <v>1</v>
      </c>
      <c r="AQ146" s="45"/>
      <c r="AR146" s="31"/>
      <c r="AS146" s="31"/>
      <c r="AT146" s="31"/>
      <c r="AU146" s="31"/>
      <c r="AV146" s="31"/>
      <c r="AW146" s="52"/>
      <c r="AX146" s="45"/>
      <c r="AY146" s="31">
        <f t="shared" si="5"/>
        <v>0</v>
      </c>
    </row>
    <row r="147" spans="39:51" ht="15.75" x14ac:dyDescent="0.25">
      <c r="AM147" s="31" t="s">
        <v>287</v>
      </c>
      <c r="AN147" s="161" t="s">
        <v>288</v>
      </c>
      <c r="AO147" s="162"/>
      <c r="AP147" s="43">
        <v>2</v>
      </c>
      <c r="AQ147" s="45"/>
      <c r="AR147" s="31"/>
      <c r="AS147" s="31"/>
      <c r="AT147" s="31"/>
      <c r="AU147" s="31"/>
      <c r="AV147" s="31"/>
      <c r="AW147" s="52" t="s">
        <v>269</v>
      </c>
      <c r="AX147" s="45"/>
      <c r="AY147" s="31">
        <f t="shared" si="5"/>
        <v>0</v>
      </c>
    </row>
  </sheetData>
  <mergeCells count="213">
    <mergeCell ref="AN116:AY116"/>
    <mergeCell ref="AN117:AO117"/>
    <mergeCell ref="AN93:AY93"/>
    <mergeCell ref="AN94:AO94"/>
    <mergeCell ref="AN95:AO95"/>
    <mergeCell ref="AN96:AO96"/>
    <mergeCell ref="AN97:AY97"/>
    <mergeCell ref="AN108:AO108"/>
    <mergeCell ref="AN109:AO109"/>
    <mergeCell ref="AN110:AO110"/>
    <mergeCell ref="AN111:AO111"/>
    <mergeCell ref="AN112:AY112"/>
    <mergeCell ref="AN103:AO103"/>
    <mergeCell ref="AN104:AO104"/>
    <mergeCell ref="AN105:AO105"/>
    <mergeCell ref="AN106:AY106"/>
    <mergeCell ref="AN107:AO107"/>
    <mergeCell ref="AN98:AO98"/>
    <mergeCell ref="AN99:AO99"/>
    <mergeCell ref="AN100:AO100"/>
    <mergeCell ref="AN101:AO101"/>
    <mergeCell ref="AN38:AO38"/>
    <mergeCell ref="AN61:AO61"/>
    <mergeCell ref="AN62:AO62"/>
    <mergeCell ref="AN63:AO63"/>
    <mergeCell ref="AN64:AO64"/>
    <mergeCell ref="AN65:AO65"/>
    <mergeCell ref="AN50:AO50"/>
    <mergeCell ref="AN51:AO51"/>
    <mergeCell ref="AN52:AO52"/>
    <mergeCell ref="AN54:AO54"/>
    <mergeCell ref="AN55:AO55"/>
    <mergeCell ref="AN29:AO29"/>
    <mergeCell ref="AN30:AY30"/>
    <mergeCell ref="AN31:AO31"/>
    <mergeCell ref="AN32:AO32"/>
    <mergeCell ref="AN33:AO33"/>
    <mergeCell ref="AN34:AO34"/>
    <mergeCell ref="AN35:AO35"/>
    <mergeCell ref="AN36:AO36"/>
    <mergeCell ref="AN37:AO37"/>
    <mergeCell ref="AN24:AO24"/>
    <mergeCell ref="AN25:AO25"/>
    <mergeCell ref="AN26:AO26"/>
    <mergeCell ref="AN27:AO27"/>
    <mergeCell ref="AN28:AO28"/>
    <mergeCell ref="AN19:AO19"/>
    <mergeCell ref="AN20:AO20"/>
    <mergeCell ref="AN21:AO21"/>
    <mergeCell ref="AN22:AO22"/>
    <mergeCell ref="AN23:AO23"/>
    <mergeCell ref="AP4:AP5"/>
    <mergeCell ref="AQ4:AS4"/>
    <mergeCell ref="AT4:AV4"/>
    <mergeCell ref="AW4:AW5"/>
    <mergeCell ref="AX4:AY4"/>
    <mergeCell ref="AM4:AM5"/>
    <mergeCell ref="AN4:AO5"/>
    <mergeCell ref="AN6:AY6"/>
    <mergeCell ref="AN9:AO9"/>
    <mergeCell ref="AN10:AO10"/>
    <mergeCell ref="AN11:AO11"/>
    <mergeCell ref="AN12:AO12"/>
    <mergeCell ref="AN13:AO13"/>
    <mergeCell ref="AN14:AO14"/>
    <mergeCell ref="AN15:AY15"/>
    <mergeCell ref="AN16:AO16"/>
    <mergeCell ref="AN17:AO17"/>
    <mergeCell ref="AN18:AO18"/>
    <mergeCell ref="AN143:AO143"/>
    <mergeCell ref="AN144:AO144"/>
    <mergeCell ref="AN145:AO145"/>
    <mergeCell ref="AN146:AO146"/>
    <mergeCell ref="AN147:AO147"/>
    <mergeCell ref="AN138:AO138"/>
    <mergeCell ref="AN139:AO139"/>
    <mergeCell ref="AN140:AO140"/>
    <mergeCell ref="AN141:AO141"/>
    <mergeCell ref="AN142:AO142"/>
    <mergeCell ref="AN134:AO134"/>
    <mergeCell ref="AN135:AO135"/>
    <mergeCell ref="AN136:AO136"/>
    <mergeCell ref="AN137:AO137"/>
    <mergeCell ref="AN128:AO128"/>
    <mergeCell ref="AN129:AO129"/>
    <mergeCell ref="AN130:AO130"/>
    <mergeCell ref="AN131:AO131"/>
    <mergeCell ref="AN132:AO132"/>
    <mergeCell ref="AN125:AO125"/>
    <mergeCell ref="AN126:AO126"/>
    <mergeCell ref="AN127:AO127"/>
    <mergeCell ref="AN118:AO118"/>
    <mergeCell ref="AN119:AO119"/>
    <mergeCell ref="AN120:AO120"/>
    <mergeCell ref="AN121:AY121"/>
    <mergeCell ref="AN122:AO122"/>
    <mergeCell ref="AN133:AO133"/>
    <mergeCell ref="AN79:AO79"/>
    <mergeCell ref="AN80:AO80"/>
    <mergeCell ref="AN81:AO81"/>
    <mergeCell ref="AN82:AO82"/>
    <mergeCell ref="AN66:AO66"/>
    <mergeCell ref="AN67:AY67"/>
    <mergeCell ref="AN69:AO69"/>
    <mergeCell ref="AN123:AO123"/>
    <mergeCell ref="AN124:AO124"/>
    <mergeCell ref="AN70:AO70"/>
    <mergeCell ref="AN71:AY71"/>
    <mergeCell ref="AN88:AO88"/>
    <mergeCell ref="AN89:AO89"/>
    <mergeCell ref="AN90:AO90"/>
    <mergeCell ref="AN91:AO91"/>
    <mergeCell ref="AN92:AO92"/>
    <mergeCell ref="AN83:AO83"/>
    <mergeCell ref="AN84:AY84"/>
    <mergeCell ref="AN85:AO85"/>
    <mergeCell ref="AN86:AO86"/>
    <mergeCell ref="AN87:AO87"/>
    <mergeCell ref="AN113:AO113"/>
    <mergeCell ref="AN114:AO114"/>
    <mergeCell ref="AN115:AO115"/>
    <mergeCell ref="O13:O14"/>
    <mergeCell ref="N13:N14"/>
    <mergeCell ref="K28:K29"/>
    <mergeCell ref="L28:L29"/>
    <mergeCell ref="M28:M29"/>
    <mergeCell ref="N28:N29"/>
    <mergeCell ref="O28:O29"/>
    <mergeCell ref="AN102:AY102"/>
    <mergeCell ref="AN56:AO56"/>
    <mergeCell ref="AN57:AO57"/>
    <mergeCell ref="AN58:AO58"/>
    <mergeCell ref="AN59:AO59"/>
    <mergeCell ref="AN60:AO60"/>
    <mergeCell ref="AN39:AO39"/>
    <mergeCell ref="AN40:AO40"/>
    <mergeCell ref="AN41:AO41"/>
    <mergeCell ref="AN42:AO42"/>
    <mergeCell ref="AN43:AO43"/>
    <mergeCell ref="AN44:AO44"/>
    <mergeCell ref="AN46:AO46"/>
    <mergeCell ref="AN47:AO47"/>
    <mergeCell ref="AN48:AO48"/>
    <mergeCell ref="AN49:AO49"/>
    <mergeCell ref="AN72:AO72"/>
    <mergeCell ref="O19:O20"/>
    <mergeCell ref="L17:M17"/>
    <mergeCell ref="H25:J25"/>
    <mergeCell ref="H18:J18"/>
    <mergeCell ref="H19:J19"/>
    <mergeCell ref="K19:K20"/>
    <mergeCell ref="L19:L20"/>
    <mergeCell ref="M19:M20"/>
    <mergeCell ref="O58:O59"/>
    <mergeCell ref="G48:J48"/>
    <mergeCell ref="G57:I57"/>
    <mergeCell ref="H38:J38"/>
    <mergeCell ref="H61:L62"/>
    <mergeCell ref="H65:L65"/>
    <mergeCell ref="Q47:Q48"/>
    <mergeCell ref="R47:R48"/>
    <mergeCell ref="Q44:R44"/>
    <mergeCell ref="K47:K48"/>
    <mergeCell ref="L47:L48"/>
    <mergeCell ref="M47:M48"/>
    <mergeCell ref="N47:N48"/>
    <mergeCell ref="K58:K59"/>
    <mergeCell ref="L58:L59"/>
    <mergeCell ref="M58:M59"/>
    <mergeCell ref="H43:I44"/>
    <mergeCell ref="L56:N56"/>
    <mergeCell ref="N58:N59"/>
    <mergeCell ref="O52:O53"/>
    <mergeCell ref="G53:H53"/>
    <mergeCell ref="AI16:AL16"/>
    <mergeCell ref="AI15:AL15"/>
    <mergeCell ref="AG22:AH22"/>
    <mergeCell ref="AG35:AH35"/>
    <mergeCell ref="AK36:AL36"/>
    <mergeCell ref="S33:V33"/>
    <mergeCell ref="K34:K35"/>
    <mergeCell ref="L34:L35"/>
    <mergeCell ref="M34:M35"/>
    <mergeCell ref="N34:N35"/>
    <mergeCell ref="O34:O35"/>
    <mergeCell ref="H23:M24"/>
    <mergeCell ref="G36:J36"/>
    <mergeCell ref="H17:J17"/>
    <mergeCell ref="N41:N42"/>
    <mergeCell ref="O41:O42"/>
    <mergeCell ref="K41:K42"/>
    <mergeCell ref="L41:L42"/>
    <mergeCell ref="M41:M42"/>
    <mergeCell ref="H15:J15"/>
    <mergeCell ref="H16:J16"/>
    <mergeCell ref="N19:N20"/>
    <mergeCell ref="C3:E4"/>
    <mergeCell ref="G47:J47"/>
    <mergeCell ref="H11:J11"/>
    <mergeCell ref="C6:E6"/>
    <mergeCell ref="C8:D8"/>
    <mergeCell ref="C9:D9"/>
    <mergeCell ref="L50:N50"/>
    <mergeCell ref="K52:K53"/>
    <mergeCell ref="L52:L53"/>
    <mergeCell ref="M52:M53"/>
    <mergeCell ref="N52:N53"/>
    <mergeCell ref="A11:D11"/>
    <mergeCell ref="H13:J13"/>
    <mergeCell ref="K13:K14"/>
    <mergeCell ref="H14:I14"/>
    <mergeCell ref="L13:L14"/>
    <mergeCell ref="M13:M1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clail</dc:creator>
  <cp:lastModifiedBy>AMSAIH Khalid</cp:lastModifiedBy>
  <dcterms:created xsi:type="dcterms:W3CDTF">2023-04-26T11:35:19Z</dcterms:created>
  <dcterms:modified xsi:type="dcterms:W3CDTF">2026-05-18T12:26:43Z</dcterms:modified>
</cp:coreProperties>
</file>